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9030" activeTab="1"/>
  </bookViews>
  <sheets>
    <sheet name="Maize Price IPA-STEP 1" sheetId="1" r:id="rId1"/>
    <sheet name="Weigths-STEP 2" sheetId="2" r:id="rId2"/>
    <sheet name="Weighted Means and SD STEPS 3-4" sheetId="3" r:id="rId3"/>
    <sheet name="IPA Chart" sheetId="11" r:id="rId4"/>
    <sheet name="CPI" sheetId="10" r:id="rId5"/>
  </sheets>
  <definedNames>
    <definedName name="AN_07">'Weigths-STEP 2'!$O$17</definedName>
    <definedName name="AN_08">'Weigths-STEP 2'!$P$17</definedName>
    <definedName name="AN_09">'Weigths-STEP 2'!$Q$17</definedName>
    <definedName name="AN_10">'Weigths-STEP 2'!$R$17</definedName>
    <definedName name="AN_11">'Weigths-STEP 2'!$S$17</definedName>
    <definedName name="AN_12">'Weigths-STEP 2'!$T$17</definedName>
    <definedName name="AN_13">'Weigths-STEP 2'!$U$17</definedName>
    <definedName name="AN_14">'Weigths-STEP 2'!$V$17</definedName>
    <definedName name="AN_15">'Weigths-STEP 2'!$W$17</definedName>
    <definedName name="AN_16">'Weigths-STEP 2'!$X$17</definedName>
    <definedName name="AN_2007">'Weigths-STEP 2'!$O$20:$O$29</definedName>
    <definedName name="AN_2008">'Weigths-STEP 2'!$P$20:$P$29</definedName>
    <definedName name="AN_2009">'Weigths-STEP 2'!$Q$20:$Q$29</definedName>
    <definedName name="AN_2010">'Weigths-STEP 2'!$R$20:$R$29</definedName>
    <definedName name="AN_2011">'Weigths-STEP 2'!$S$20:$S$29</definedName>
    <definedName name="AN_2012">'Weigths-STEP 2'!$T$20:$T$29</definedName>
    <definedName name="AN_2013">'Weigths-STEP 2'!$U$20:$U$29</definedName>
    <definedName name="AN_2014">'Weigths-STEP 2'!$V$20:$V$29</definedName>
    <definedName name="AN_2015">'Weigths-STEP 2'!$W$20:$W$29</definedName>
    <definedName name="AN_2016">'Weigths-STEP 2'!$X$20:$X$29</definedName>
    <definedName name="ANAPR">'Maize Price IPA-STEP 1'!$S$37:$S$46</definedName>
    <definedName name="ANAUG">'Maize Price IPA-STEP 1'!$S$81:$S$90</definedName>
    <definedName name="ANDEC">'Maize Price IPA-STEP 1'!$S$125:$S$134</definedName>
    <definedName name="ANFEB">'Maize Price IPA-STEP 1'!$S$15:$S$24</definedName>
    <definedName name="ANJAN">'Maize Price IPA-STEP 1'!$S$4:$S$13</definedName>
    <definedName name="ANJUL">'Maize Price IPA-STEP 1'!$S$70:$S$79</definedName>
    <definedName name="ANJUN">'Maize Price IPA-STEP 1'!$S$59:$S$68</definedName>
    <definedName name="ANMAR">'Maize Price IPA-STEP 1'!$S$26:$S$35</definedName>
    <definedName name="ANMAY">'Maize Price IPA-STEP 1'!$S$48:$S$57</definedName>
    <definedName name="ANNOV">'Maize Price IPA-STEP 1'!$S$114:$S$123</definedName>
    <definedName name="ANOCT">'Maize Price IPA-STEP 1'!$S$103:$S$112</definedName>
    <definedName name="ANSEP">'Maize Price IPA-STEP 1'!$S$92:$S$101</definedName>
    <definedName name="ANWEIGHTS">'Weigths-STEP 2'!$O$20:$V$27</definedName>
    <definedName name="PRICE">'Maize Price IPA-STEP 1'!$D$2:$D$101</definedName>
    <definedName name="QN10_">'Weigths-STEP 2'!$F$17</definedName>
    <definedName name="QN11_">'Weigths-STEP 2'!$G$17</definedName>
    <definedName name="QN12_">'Weigths-STEP 2'!$H$17</definedName>
    <definedName name="QN13_">'Weigths-STEP 2'!$I$17</definedName>
    <definedName name="QN14_">'Weigths-STEP 2'!$J$17</definedName>
    <definedName name="QN15_">'Weigths-STEP 2'!$K$17</definedName>
    <definedName name="QN16_">'Weigths-STEP 2'!$L$17</definedName>
    <definedName name="QN6_">'Weigths-STEP 2'!$B$17</definedName>
    <definedName name="QN7_">'Weigths-STEP 2'!$C$17</definedName>
    <definedName name="QN8_">'Weigths-STEP 2'!$D$17</definedName>
    <definedName name="QN9_">'Weigths-STEP 2'!$E$17</definedName>
    <definedName name="QTYAPR">'Maize Price IPA-STEP 1'!$R$36:$R$46</definedName>
    <definedName name="QTYAUG">'Maize Price IPA-STEP 1'!$R$80:$R$90</definedName>
    <definedName name="QTYDEC">'Maize Price IPA-STEP 1'!$R$124:$R$134</definedName>
    <definedName name="QTYFEB">'Maize Price IPA-STEP 1'!$R$14:$R$24</definedName>
    <definedName name="QTYJAN">'Maize Price IPA-STEP 1'!$R$3:$R$13</definedName>
    <definedName name="QTYJUL">'Maize Price IPA-STEP 1'!$R$69:$R$79</definedName>
    <definedName name="QTYJUN">'Maize Price IPA-STEP 1'!$R$58:$R$68</definedName>
    <definedName name="QTYMAR">'Maize Price IPA-STEP 1'!$R$25:$R$35</definedName>
    <definedName name="QTYMAY">'Maize Price IPA-STEP 1'!$R$47:$R$57</definedName>
    <definedName name="QTYNOV">'Maize Price IPA-STEP 1'!$R$113:$R$123</definedName>
    <definedName name="QTYOCT">'Maize Price IPA-STEP 1'!$R$102:$R$112</definedName>
    <definedName name="QTYSEP">'Maize Price IPA-STEP 1'!$R$91:$R$101</definedName>
    <definedName name="QTYWEIGTHS">'Weigths-STEP 2'!$B$20:$J$28</definedName>
    <definedName name="QW_2006">'Weigths-STEP 2'!$B$20:$B$30</definedName>
    <definedName name="QW_2007">'Weigths-STEP 2'!$C$20:$C$30</definedName>
    <definedName name="QW_2008">'Weigths-STEP 2'!$D$20:$D$30</definedName>
    <definedName name="QW_2009">'Weigths-STEP 2'!$E$20:$E$30</definedName>
    <definedName name="QW_2010">'Weigths-STEP 2'!$F$20:$F$30</definedName>
    <definedName name="QW_2011">'Weigths-STEP 2'!$G$20:$G$30</definedName>
    <definedName name="QW_2012">'Weigths-STEP 2'!$H$20:$H$30</definedName>
    <definedName name="QW_2013">'Weigths-STEP 2'!$I$20:$I$30</definedName>
    <definedName name="QW_2014">'Weigths-STEP 2'!$J$20:$J$30</definedName>
    <definedName name="QW_2015">'Weigths-STEP 2'!$K$20:$K$30</definedName>
    <definedName name="QW_2016">'Weigths-STEP 2'!$L$20:$L$30</definedName>
  </definedNames>
  <calcPr calcId="125725"/>
</workbook>
</file>

<file path=xl/calcChain.xml><?xml version="1.0" encoding="utf-8"?>
<calcChain xmlns="http://schemas.openxmlformats.org/spreadsheetml/2006/main">
  <c r="L32" i="3"/>
  <c r="L33"/>
  <c r="L34"/>
  <c r="L35"/>
  <c r="L36"/>
  <c r="L37"/>
  <c r="L38"/>
  <c r="L39"/>
  <c r="L40"/>
  <c r="L41"/>
  <c r="L42"/>
  <c r="L14" i="2" l="1"/>
  <c r="L20" s="1"/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AP102" i="3" s="1"/>
  <c r="D128" i="1"/>
  <c r="AP103" i="3" s="1"/>
  <c r="D129" i="1"/>
  <c r="AP104" i="3" s="1"/>
  <c r="D130" i="1"/>
  <c r="AP105" i="3" s="1"/>
  <c r="D131" i="1"/>
  <c r="AP106" i="3" s="1"/>
  <c r="D132" i="1"/>
  <c r="D133"/>
  <c r="D134"/>
  <c r="D135"/>
  <c r="D136"/>
  <c r="D3"/>
  <c r="AP109" i="3"/>
  <c r="C130" i="1"/>
  <c r="C131"/>
  <c r="C132"/>
  <c r="C133"/>
  <c r="C134"/>
  <c r="C135"/>
  <c r="C136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3"/>
  <c r="C196" i="10"/>
  <c r="C197"/>
  <c r="C198"/>
  <c r="C199"/>
  <c r="C200"/>
  <c r="C201"/>
  <c r="C202"/>
  <c r="C203"/>
  <c r="C204"/>
  <c r="C205"/>
  <c r="C206"/>
  <c r="C207"/>
  <c r="C208"/>
  <c r="C209"/>
  <c r="AP99" i="3"/>
  <c r="AP100"/>
  <c r="AP101"/>
  <c r="AP107"/>
  <c r="AP108"/>
  <c r="AD45"/>
  <c r="AD46"/>
  <c r="AD47"/>
  <c r="AD48"/>
  <c r="AD49"/>
  <c r="AD50"/>
  <c r="AD51"/>
  <c r="AD52"/>
  <c r="AD53"/>
  <c r="AD54"/>
  <c r="AD55"/>
  <c r="AD56"/>
  <c r="AD58" l="1"/>
  <c r="M130" i="1"/>
  <c r="AA38" i="3" s="1"/>
  <c r="M131" i="1"/>
  <c r="AA39" i="3" s="1"/>
  <c r="M132" i="1"/>
  <c r="AA40" i="3" s="1"/>
  <c r="M133" i="1"/>
  <c r="S123" s="1"/>
  <c r="M134"/>
  <c r="S134" s="1"/>
  <c r="M135"/>
  <c r="M136"/>
  <c r="I130"/>
  <c r="R90" s="1"/>
  <c r="I131"/>
  <c r="R101" s="1"/>
  <c r="I132"/>
  <c r="I133"/>
  <c r="R123" s="1"/>
  <c r="I134"/>
  <c r="I135"/>
  <c r="I136"/>
  <c r="I129"/>
  <c r="R112" l="1"/>
  <c r="S112"/>
  <c r="R134"/>
  <c r="S90"/>
  <c r="S101"/>
  <c r="AA42" i="3"/>
  <c r="AA41"/>
  <c r="I127" i="1"/>
  <c r="R57" l="1"/>
  <c r="I128"/>
  <c r="AP96" i="3"/>
  <c r="AP97"/>
  <c r="C77" i="10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76"/>
  <c r="R79" i="1" l="1"/>
  <c r="I125"/>
  <c r="I124"/>
  <c r="R68"/>
  <c r="AP98" i="3" l="1"/>
  <c r="I126" i="1"/>
  <c r="R24"/>
  <c r="R35"/>
  <c r="X14" i="2"/>
  <c r="X24" l="1"/>
  <c r="X28"/>
  <c r="X21"/>
  <c r="X25"/>
  <c r="X20"/>
  <c r="X23"/>
  <c r="X22"/>
  <c r="X26"/>
  <c r="X27"/>
  <c r="R46" i="1"/>
  <c r="L21" i="2" l="1"/>
  <c r="L25"/>
  <c r="L29"/>
  <c r="L23"/>
  <c r="L22"/>
  <c r="L26"/>
  <c r="L27"/>
  <c r="L28"/>
  <c r="L24"/>
  <c r="X32"/>
  <c r="W14"/>
  <c r="W21" s="1"/>
  <c r="W20" l="1"/>
  <c r="W27"/>
  <c r="W24"/>
  <c r="W23"/>
  <c r="L32"/>
  <c r="W26"/>
  <c r="W22"/>
  <c r="W25"/>
  <c r="I122" i="1"/>
  <c r="K42" i="3" s="1"/>
  <c r="AP94"/>
  <c r="I121" i="1"/>
  <c r="K41" i="3" s="1"/>
  <c r="AP93"/>
  <c r="I123" i="1"/>
  <c r="L31" i="3" s="1"/>
  <c r="AP95"/>
  <c r="K25" i="2"/>
  <c r="K21"/>
  <c r="K14"/>
  <c r="K28" s="1"/>
  <c r="W32" l="1"/>
  <c r="K22"/>
  <c r="K26"/>
  <c r="K23"/>
  <c r="K27"/>
  <c r="K20"/>
  <c r="K24"/>
  <c r="R133" i="1"/>
  <c r="R13"/>
  <c r="R122"/>
  <c r="AP77" i="3"/>
  <c r="AP78"/>
  <c r="AP79"/>
  <c r="AP80"/>
  <c r="AP81"/>
  <c r="AP82"/>
  <c r="AP83"/>
  <c r="K32" i="2" l="1"/>
  <c r="AP88" i="3"/>
  <c r="M125" i="1"/>
  <c r="AP90" i="3"/>
  <c r="M127" i="1"/>
  <c r="AP89" i="3"/>
  <c r="M126" i="1"/>
  <c r="AP92" i="3"/>
  <c r="M129" i="1"/>
  <c r="AP91" i="3"/>
  <c r="M128" i="1"/>
  <c r="AP87" i="3"/>
  <c r="M124" i="1"/>
  <c r="M121"/>
  <c r="Z41" i="3" s="1"/>
  <c r="AP84"/>
  <c r="M123" i="1"/>
  <c r="S13" s="1"/>
  <c r="AP86" i="3"/>
  <c r="M122" i="1"/>
  <c r="AP85" i="3"/>
  <c r="M117" i="1"/>
  <c r="I120"/>
  <c r="I113"/>
  <c r="M116"/>
  <c r="I119"/>
  <c r="M120"/>
  <c r="Z40" i="3" s="1"/>
  <c r="M115" i="1"/>
  <c r="I118"/>
  <c r="M119"/>
  <c r="M114"/>
  <c r="M118"/>
  <c r="I112"/>
  <c r="I117"/>
  <c r="I109"/>
  <c r="I105"/>
  <c r="I116"/>
  <c r="I108"/>
  <c r="I115"/>
  <c r="I111"/>
  <c r="K31" i="3" s="1"/>
  <c r="I107" i="1"/>
  <c r="I114"/>
  <c r="I110"/>
  <c r="I106"/>
  <c r="Z42" i="3" l="1"/>
  <c r="S133" i="1"/>
  <c r="S122"/>
  <c r="AA31" i="3"/>
  <c r="AA36"/>
  <c r="S68" i="1"/>
  <c r="AA34" i="3"/>
  <c r="S46" i="1"/>
  <c r="AA33" i="3"/>
  <c r="S35" i="1"/>
  <c r="AA32" i="3"/>
  <c r="S24" i="1"/>
  <c r="AA37" i="3"/>
  <c r="S79" i="1"/>
  <c r="S57"/>
  <c r="AA35" i="3"/>
  <c r="Z38"/>
  <c r="S89" i="1"/>
  <c r="S56"/>
  <c r="Z35" i="3"/>
  <c r="R34" i="1"/>
  <c r="K33" i="3"/>
  <c r="J42"/>
  <c r="R132" i="1"/>
  <c r="K35" i="3"/>
  <c r="R56" i="1"/>
  <c r="R121"/>
  <c r="J41" i="3"/>
  <c r="Z34"/>
  <c r="S45" i="1"/>
  <c r="R111"/>
  <c r="K40" i="3"/>
  <c r="K34"/>
  <c r="R45" i="1"/>
  <c r="J38" i="3"/>
  <c r="R88" i="1"/>
  <c r="R77"/>
  <c r="J37" i="3"/>
  <c r="R110" i="1"/>
  <c r="J40" i="3"/>
  <c r="R78" i="1"/>
  <c r="K37" i="3"/>
  <c r="Z39"/>
  <c r="S100" i="1"/>
  <c r="R100"/>
  <c r="K39" i="3"/>
  <c r="Z37"/>
  <c r="S78" i="1"/>
  <c r="J39" i="3"/>
  <c r="R99" i="1"/>
  <c r="K36" i="3"/>
  <c r="R67" i="1"/>
  <c r="R23"/>
  <c r="K32" i="3"/>
  <c r="K38"/>
  <c r="R89" i="1"/>
  <c r="S67"/>
  <c r="Z36" i="3"/>
  <c r="R12" i="1"/>
  <c r="S111"/>
  <c r="V14" i="2"/>
  <c r="V21" s="1"/>
  <c r="J14"/>
  <c r="J21" s="1"/>
  <c r="O10"/>
  <c r="P10"/>
  <c r="O9" s="1"/>
  <c r="Q10"/>
  <c r="P9" s="1"/>
  <c r="O8" s="1"/>
  <c r="R10"/>
  <c r="Q9" s="1"/>
  <c r="P8" s="1"/>
  <c r="O7" s="1"/>
  <c r="S10"/>
  <c r="R9" s="1"/>
  <c r="Q8" s="1"/>
  <c r="P7" s="1"/>
  <c r="O6" s="1"/>
  <c r="T10"/>
  <c r="S9" s="1"/>
  <c r="R8" s="1"/>
  <c r="Q7" s="1"/>
  <c r="P6" s="1"/>
  <c r="O5" s="1"/>
  <c r="U9"/>
  <c r="T8" s="1"/>
  <c r="S7" s="1"/>
  <c r="R6" s="1"/>
  <c r="Q5" s="1"/>
  <c r="P4" s="1"/>
  <c r="U10"/>
  <c r="T9" s="1"/>
  <c r="S8" s="1"/>
  <c r="R7" s="1"/>
  <c r="Q6" s="1"/>
  <c r="P5" s="1"/>
  <c r="O4" s="1"/>
  <c r="U3"/>
  <c r="U4"/>
  <c r="T3" s="1"/>
  <c r="U5"/>
  <c r="T4" s="1"/>
  <c r="S3" s="1"/>
  <c r="U6"/>
  <c r="T5" s="1"/>
  <c r="S4" s="1"/>
  <c r="R3" s="1"/>
  <c r="U7"/>
  <c r="T6" s="1"/>
  <c r="S5" s="1"/>
  <c r="R4" s="1"/>
  <c r="Q3" s="1"/>
  <c r="U8"/>
  <c r="T7" s="1"/>
  <c r="S6" s="1"/>
  <c r="R5" s="1"/>
  <c r="Q4" s="1"/>
  <c r="P3" s="1"/>
  <c r="J22" l="1"/>
  <c r="J26"/>
  <c r="U14"/>
  <c r="U20" s="1"/>
  <c r="V22"/>
  <c r="V26"/>
  <c r="R14"/>
  <c r="R24" s="1"/>
  <c r="S14"/>
  <c r="S27" s="1"/>
  <c r="J28"/>
  <c r="J24"/>
  <c r="V20"/>
  <c r="V24"/>
  <c r="J27"/>
  <c r="J23"/>
  <c r="V27"/>
  <c r="V23"/>
  <c r="J20"/>
  <c r="J25"/>
  <c r="V25"/>
  <c r="R21"/>
  <c r="R26"/>
  <c r="S26"/>
  <c r="T14"/>
  <c r="T27" s="1"/>
  <c r="P14"/>
  <c r="P22" s="1"/>
  <c r="U25"/>
  <c r="U24"/>
  <c r="U21"/>
  <c r="Q14"/>
  <c r="Q22" s="1"/>
  <c r="O14"/>
  <c r="T26"/>
  <c r="P26"/>
  <c r="S22" l="1"/>
  <c r="S23"/>
  <c r="R25"/>
  <c r="R22"/>
  <c r="R20"/>
  <c r="R32" s="1"/>
  <c r="R23"/>
  <c r="R27"/>
  <c r="U26"/>
  <c r="S24"/>
  <c r="U22"/>
  <c r="S21"/>
  <c r="S25"/>
  <c r="U23"/>
  <c r="U27"/>
  <c r="P21"/>
  <c r="P24"/>
  <c r="S20"/>
  <c r="T22"/>
  <c r="T25"/>
  <c r="T20"/>
  <c r="T21"/>
  <c r="T24"/>
  <c r="T23"/>
  <c r="V32"/>
  <c r="J32"/>
  <c r="O22"/>
  <c r="O24"/>
  <c r="O26"/>
  <c r="O27"/>
  <c r="O25"/>
  <c r="Q24"/>
  <c r="Q26"/>
  <c r="Q27"/>
  <c r="Q25"/>
  <c r="O23"/>
  <c r="Q21"/>
  <c r="Q23"/>
  <c r="P23"/>
  <c r="P25"/>
  <c r="P27"/>
  <c r="P20"/>
  <c r="O21"/>
  <c r="Q20"/>
  <c r="S32" l="1"/>
  <c r="U32"/>
  <c r="T32"/>
  <c r="P32"/>
  <c r="Q32"/>
  <c r="O32"/>
  <c r="M16" i="1" l="1"/>
  <c r="M17"/>
  <c r="M20"/>
  <c r="M21"/>
  <c r="M22"/>
  <c r="M24"/>
  <c r="M25"/>
  <c r="R41" i="3" s="1"/>
  <c r="M26" i="1"/>
  <c r="AP2" i="3"/>
  <c r="AP6"/>
  <c r="AP10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I6" i="1"/>
  <c r="B11" i="2"/>
  <c r="C11"/>
  <c r="D11"/>
  <c r="E11"/>
  <c r="F11"/>
  <c r="G11"/>
  <c r="H11"/>
  <c r="I3"/>
  <c r="I4"/>
  <c r="I5"/>
  <c r="I6"/>
  <c r="I7"/>
  <c r="I8"/>
  <c r="I10"/>
  <c r="I11"/>
  <c r="H10" s="1"/>
  <c r="I9"/>
  <c r="H8" s="1"/>
  <c r="AX6" i="1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F6"/>
  <c r="DG6"/>
  <c r="DH6"/>
  <c r="DI6"/>
  <c r="DJ6"/>
  <c r="DK6"/>
  <c r="DL6"/>
  <c r="DM6"/>
  <c r="DN6"/>
  <c r="DO6"/>
  <c r="DP6"/>
  <c r="DQ6"/>
  <c r="DR6"/>
  <c r="DS6"/>
  <c r="DT6"/>
  <c r="DU6"/>
  <c r="DV6"/>
  <c r="DW6"/>
  <c r="DX6"/>
  <c r="DY6"/>
  <c r="DZ6"/>
  <c r="EA6"/>
  <c r="EB6"/>
  <c r="EC6"/>
  <c r="ED6"/>
  <c r="EE6"/>
  <c r="EF6"/>
  <c r="EG6"/>
  <c r="EH6"/>
  <c r="EI6"/>
  <c r="EJ6"/>
  <c r="EK6"/>
  <c r="EL6"/>
  <c r="EM6"/>
  <c r="EN6"/>
  <c r="EO6"/>
  <c r="EP6"/>
  <c r="EQ6"/>
  <c r="ER6"/>
  <c r="R32" i="3" l="1"/>
  <c r="S15" i="1"/>
  <c r="M18"/>
  <c r="R34" i="3" s="1"/>
  <c r="M38" i="1"/>
  <c r="S42" i="3" s="1"/>
  <c r="AP13"/>
  <c r="M34" i="1"/>
  <c r="S38" i="3" s="1"/>
  <c r="AP9"/>
  <c r="M30" i="1"/>
  <c r="S34" i="3" s="1"/>
  <c r="AP5"/>
  <c r="M37" i="1"/>
  <c r="S41" i="3" s="1"/>
  <c r="AP12"/>
  <c r="M33" i="1"/>
  <c r="S37" i="3" s="1"/>
  <c r="AP8"/>
  <c r="M29" i="1"/>
  <c r="S27" s="1"/>
  <c r="AP4" i="3"/>
  <c r="M36" i="1"/>
  <c r="S40" i="3" s="1"/>
  <c r="AP11"/>
  <c r="M32" i="1"/>
  <c r="S36" i="3" s="1"/>
  <c r="AP7"/>
  <c r="M28" i="1"/>
  <c r="AP3" i="3"/>
  <c r="B34"/>
  <c r="R36" i="1"/>
  <c r="S125"/>
  <c r="R42" i="3"/>
  <c r="S81" i="1"/>
  <c r="R38" i="3"/>
  <c r="S71" i="1"/>
  <c r="R37" i="3"/>
  <c r="S70" i="1"/>
  <c r="R33" i="3"/>
  <c r="S26" i="1"/>
  <c r="R40" i="3"/>
  <c r="S103" i="1"/>
  <c r="R36" i="3"/>
  <c r="S59" i="1"/>
  <c r="M23"/>
  <c r="M87"/>
  <c r="M71"/>
  <c r="M55"/>
  <c r="M39"/>
  <c r="M110"/>
  <c r="Y42" i="3" s="1"/>
  <c r="M86" i="1"/>
  <c r="M82"/>
  <c r="M78"/>
  <c r="M70"/>
  <c r="M62"/>
  <c r="M54"/>
  <c r="M46"/>
  <c r="M42"/>
  <c r="M89"/>
  <c r="M85"/>
  <c r="W41" i="3" s="1"/>
  <c r="M81" i="1"/>
  <c r="M77"/>
  <c r="M73"/>
  <c r="V41" i="3" s="1"/>
  <c r="M69" i="1"/>
  <c r="M65"/>
  <c r="M61"/>
  <c r="U41" i="3" s="1"/>
  <c r="M57" i="1"/>
  <c r="M53"/>
  <c r="M49"/>
  <c r="T41" i="3" s="1"/>
  <c r="M45" i="1"/>
  <c r="M41"/>
  <c r="M66"/>
  <c r="M58"/>
  <c r="M50"/>
  <c r="M88"/>
  <c r="M84"/>
  <c r="M80"/>
  <c r="M76"/>
  <c r="M72"/>
  <c r="M68"/>
  <c r="M64"/>
  <c r="M60"/>
  <c r="M56"/>
  <c r="M52"/>
  <c r="M48"/>
  <c r="M44"/>
  <c r="M40"/>
  <c r="I79"/>
  <c r="I63"/>
  <c r="I51"/>
  <c r="I19"/>
  <c r="I83"/>
  <c r="I67"/>
  <c r="I47"/>
  <c r="I43"/>
  <c r="I31"/>
  <c r="I15"/>
  <c r="I11"/>
  <c r="I75"/>
  <c r="I59"/>
  <c r="M27"/>
  <c r="M94"/>
  <c r="M106"/>
  <c r="M90"/>
  <c r="M102"/>
  <c r="I95"/>
  <c r="M107"/>
  <c r="Y39" i="3" s="1"/>
  <c r="M101" i="1"/>
  <c r="I104"/>
  <c r="M113"/>
  <c r="M97"/>
  <c r="X41" i="3" s="1"/>
  <c r="M109" i="1"/>
  <c r="Y41" i="3" s="1"/>
  <c r="M93" i="1"/>
  <c r="M105"/>
  <c r="I99"/>
  <c r="M111"/>
  <c r="I102"/>
  <c r="I91"/>
  <c r="M103"/>
  <c r="M100"/>
  <c r="M112"/>
  <c r="Z32" i="3" s="1"/>
  <c r="I103" i="1"/>
  <c r="M96"/>
  <c r="M108"/>
  <c r="Y40" i="3" s="1"/>
  <c r="M92" i="1"/>
  <c r="M104"/>
  <c r="I35"/>
  <c r="I7"/>
  <c r="I12"/>
  <c r="I8"/>
  <c r="I98"/>
  <c r="I74"/>
  <c r="I14"/>
  <c r="I10"/>
  <c r="I13"/>
  <c r="I9"/>
  <c r="G9" i="2"/>
  <c r="G7"/>
  <c r="E10"/>
  <c r="H7"/>
  <c r="H3"/>
  <c r="F10"/>
  <c r="B10"/>
  <c r="I14"/>
  <c r="I26" s="1"/>
  <c r="D10"/>
  <c r="H6"/>
  <c r="H4"/>
  <c r="G10"/>
  <c r="C10"/>
  <c r="H9"/>
  <c r="H5"/>
  <c r="I30" i="1"/>
  <c r="M83"/>
  <c r="M19"/>
  <c r="I22"/>
  <c r="M67"/>
  <c r="M51"/>
  <c r="M99"/>
  <c r="M35"/>
  <c r="I87"/>
  <c r="I71"/>
  <c r="I55"/>
  <c r="I39"/>
  <c r="I27"/>
  <c r="M95"/>
  <c r="M79"/>
  <c r="M63"/>
  <c r="M47"/>
  <c r="M31"/>
  <c r="I34"/>
  <c r="I26"/>
  <c r="I18"/>
  <c r="M91"/>
  <c r="M75"/>
  <c r="M59"/>
  <c r="M43"/>
  <c r="I23"/>
  <c r="M15"/>
  <c r="I94"/>
  <c r="I90"/>
  <c r="I86"/>
  <c r="I82"/>
  <c r="I78"/>
  <c r="I70"/>
  <c r="I66"/>
  <c r="I62"/>
  <c r="I58"/>
  <c r="I54"/>
  <c r="I50"/>
  <c r="I46"/>
  <c r="I42"/>
  <c r="I38"/>
  <c r="M98"/>
  <c r="M74"/>
  <c r="I101"/>
  <c r="I97"/>
  <c r="I93"/>
  <c r="I89"/>
  <c r="I85"/>
  <c r="I81"/>
  <c r="I77"/>
  <c r="I73"/>
  <c r="I69"/>
  <c r="I65"/>
  <c r="I61"/>
  <c r="I57"/>
  <c r="I53"/>
  <c r="I49"/>
  <c r="I45"/>
  <c r="I41"/>
  <c r="I37"/>
  <c r="I33"/>
  <c r="I29"/>
  <c r="I25"/>
  <c r="I21"/>
  <c r="I17"/>
  <c r="I100"/>
  <c r="I96"/>
  <c r="I92"/>
  <c r="I88"/>
  <c r="I84"/>
  <c r="I80"/>
  <c r="I76"/>
  <c r="I72"/>
  <c r="I68"/>
  <c r="I64"/>
  <c r="I60"/>
  <c r="I56"/>
  <c r="I52"/>
  <c r="I48"/>
  <c r="I44"/>
  <c r="I40"/>
  <c r="I36"/>
  <c r="I32"/>
  <c r="I28"/>
  <c r="I24"/>
  <c r="I20"/>
  <c r="I16"/>
  <c r="S37" l="1"/>
  <c r="V32" i="3"/>
  <c r="S19" i="1"/>
  <c r="S38"/>
  <c r="Y32" i="3"/>
  <c r="S22" i="1"/>
  <c r="U32" i="3"/>
  <c r="S18" i="1"/>
  <c r="S104"/>
  <c r="AA12" i="3" s="1"/>
  <c r="W32"/>
  <c r="S20" i="1"/>
  <c r="S32" i="3"/>
  <c r="S16" i="1"/>
  <c r="T32" i="3"/>
  <c r="S17" i="1"/>
  <c r="X32" i="3"/>
  <c r="S21" i="1"/>
  <c r="S126"/>
  <c r="AA14" i="3" s="1"/>
  <c r="S82" i="1"/>
  <c r="AA10" i="3" s="1"/>
  <c r="S60" i="1"/>
  <c r="S33" i="3"/>
  <c r="D40"/>
  <c r="R104" i="1"/>
  <c r="G36" i="3"/>
  <c r="R63" i="1"/>
  <c r="H40" i="3"/>
  <c r="R108" i="1"/>
  <c r="D33" i="3"/>
  <c r="R27" i="1"/>
  <c r="E37" i="3"/>
  <c r="R72" i="1"/>
  <c r="H33" i="3"/>
  <c r="R31" i="1"/>
  <c r="X42" i="3"/>
  <c r="S131" i="1"/>
  <c r="G34" i="3"/>
  <c r="R41" i="1"/>
  <c r="H42" i="3"/>
  <c r="R130" i="1"/>
  <c r="X35" i="3"/>
  <c r="S54" i="1"/>
  <c r="X39" i="3"/>
  <c r="S98" i="1"/>
  <c r="S7"/>
  <c r="U31" i="3"/>
  <c r="X37"/>
  <c r="S76" i="1"/>
  <c r="Y34" i="3"/>
  <c r="S44" i="1"/>
  <c r="R4"/>
  <c r="C31" i="3"/>
  <c r="R8" i="1"/>
  <c r="G31" i="3"/>
  <c r="T40"/>
  <c r="S105" i="1"/>
  <c r="W36" i="3"/>
  <c r="S64" i="1"/>
  <c r="U38" i="3"/>
  <c r="S84" i="1"/>
  <c r="V33" i="3"/>
  <c r="S30" i="1"/>
  <c r="T38" i="3"/>
  <c r="S83" i="1"/>
  <c r="S6"/>
  <c r="T31" i="3"/>
  <c r="R103" i="1"/>
  <c r="C40" i="3"/>
  <c r="E32"/>
  <c r="R17" i="1"/>
  <c r="F36" i="3"/>
  <c r="R62" i="1"/>
  <c r="R107"/>
  <c r="G40" i="3"/>
  <c r="R21" i="1"/>
  <c r="I32" i="3"/>
  <c r="R26" i="1"/>
  <c r="C33" i="3"/>
  <c r="R71" i="1"/>
  <c r="D37" i="3"/>
  <c r="S116" i="1"/>
  <c r="R116"/>
  <c r="E41" i="3"/>
  <c r="R30" i="1"/>
  <c r="G33" i="3"/>
  <c r="R75" i="1"/>
  <c r="H37" i="3"/>
  <c r="S120" i="1"/>
  <c r="R120"/>
  <c r="I41" i="3"/>
  <c r="D42"/>
  <c r="R126" i="1"/>
  <c r="F34" i="3"/>
  <c r="R40" i="1"/>
  <c r="G38" i="3"/>
  <c r="R85" i="1"/>
  <c r="I34" i="3"/>
  <c r="R43" i="1"/>
  <c r="T35" i="3"/>
  <c r="S50" i="1"/>
  <c r="C34" i="3"/>
  <c r="R37" i="1"/>
  <c r="T39" i="3"/>
  <c r="S94" i="1"/>
  <c r="R5"/>
  <c r="D31" i="3"/>
  <c r="R10" i="1"/>
  <c r="I31" i="3"/>
  <c r="S52" i="1"/>
  <c r="V35" i="3"/>
  <c r="D34"/>
  <c r="R38" i="1"/>
  <c r="B37" i="3"/>
  <c r="R69" i="1"/>
  <c r="G42" i="3"/>
  <c r="R129" i="1"/>
  <c r="B35" i="3"/>
  <c r="R47" i="1"/>
  <c r="S12"/>
  <c r="Z31" i="3"/>
  <c r="Y33"/>
  <c r="S33" i="1"/>
  <c r="X34" i="3"/>
  <c r="S43" i="1"/>
  <c r="F39" i="3"/>
  <c r="R95" i="1"/>
  <c r="D35" i="3"/>
  <c r="R49" i="1"/>
  <c r="H39" i="3"/>
  <c r="R97" i="1"/>
  <c r="H35" i="3"/>
  <c r="R53" i="1"/>
  <c r="S63"/>
  <c r="V36" i="3"/>
  <c r="W40"/>
  <c r="S108" i="1"/>
  <c r="V34" i="3"/>
  <c r="S41" i="1"/>
  <c r="U33" i="3"/>
  <c r="S29" i="1"/>
  <c r="V37" i="3"/>
  <c r="S74" i="1"/>
  <c r="U34" i="3"/>
  <c r="S40" i="1"/>
  <c r="W38" i="3"/>
  <c r="S86" i="1"/>
  <c r="U35" i="3"/>
  <c r="S51" i="1"/>
  <c r="R15"/>
  <c r="C32" i="3"/>
  <c r="R60" i="1"/>
  <c r="D36" i="3"/>
  <c r="E40"/>
  <c r="R105" i="1"/>
  <c r="R19"/>
  <c r="G32" i="3"/>
  <c r="R64" i="1"/>
  <c r="H36" i="3"/>
  <c r="R109" i="1"/>
  <c r="I40" i="3"/>
  <c r="S114" i="1"/>
  <c r="R114"/>
  <c r="C41" i="3"/>
  <c r="R28" i="1"/>
  <c r="E33" i="3"/>
  <c r="R73" i="1"/>
  <c r="F37" i="3"/>
  <c r="S118" i="1"/>
  <c r="G41" i="3"/>
  <c r="R118" i="1"/>
  <c r="R32"/>
  <c r="I33" i="3"/>
  <c r="V42"/>
  <c r="S129" i="1"/>
  <c r="E38" i="3"/>
  <c r="R83" i="1"/>
  <c r="F42" i="3"/>
  <c r="R128" i="1"/>
  <c r="H38" i="3"/>
  <c r="R86" i="1"/>
  <c r="S4"/>
  <c r="R31" i="3"/>
  <c r="S9" i="1"/>
  <c r="W31" i="3"/>
  <c r="D38"/>
  <c r="R82" i="1"/>
  <c r="S53"/>
  <c r="W35" i="3"/>
  <c r="F35"/>
  <c r="R51" i="1"/>
  <c r="S11"/>
  <c r="Y31" i="3"/>
  <c r="R35"/>
  <c r="S48" i="1"/>
  <c r="R80"/>
  <c r="B38" i="3"/>
  <c r="B36"/>
  <c r="R58" i="1"/>
  <c r="Y36" i="3"/>
  <c r="S66" i="1"/>
  <c r="J35" i="3"/>
  <c r="R55" i="1"/>
  <c r="I35" i="3"/>
  <c r="R54" i="1"/>
  <c r="Y37" i="3"/>
  <c r="S77" i="1"/>
  <c r="Z33" i="3"/>
  <c r="S34" i="1"/>
  <c r="R98"/>
  <c r="I39" i="3"/>
  <c r="X38"/>
  <c r="S87" i="1"/>
  <c r="B39" i="3"/>
  <c r="R91" i="1"/>
  <c r="L11" i="3" s="1"/>
  <c r="R94" i="1"/>
  <c r="E39" i="3"/>
  <c r="R7" i="1"/>
  <c r="F31" i="3"/>
  <c r="T36"/>
  <c r="S61" i="1"/>
  <c r="S106"/>
  <c r="U40" i="3"/>
  <c r="T42"/>
  <c r="S127" i="1"/>
  <c r="T37" i="3"/>
  <c r="S72" i="1"/>
  <c r="W33" i="3"/>
  <c r="S31" i="1"/>
  <c r="T34" i="3"/>
  <c r="S39" i="1"/>
  <c r="V38" i="3"/>
  <c r="S85" i="1"/>
  <c r="S10"/>
  <c r="X31" i="3"/>
  <c r="C36"/>
  <c r="R59" i="1"/>
  <c r="F32" i="3"/>
  <c r="R18" i="1"/>
  <c r="J32" i="3"/>
  <c r="R22" i="1"/>
  <c r="R117"/>
  <c r="F41" i="3"/>
  <c r="S117" i="1"/>
  <c r="I37" i="3"/>
  <c r="R76" i="1"/>
  <c r="E42" i="3"/>
  <c r="R127" i="1"/>
  <c r="R92"/>
  <c r="C39" i="3"/>
  <c r="S49" i="1"/>
  <c r="S35" i="3"/>
  <c r="G39"/>
  <c r="R96" i="1"/>
  <c r="S97"/>
  <c r="W39" i="3"/>
  <c r="B42"/>
  <c r="R124" i="1"/>
  <c r="R102"/>
  <c r="B40" i="3"/>
  <c r="X36"/>
  <c r="S65" i="1"/>
  <c r="J34" i="3"/>
  <c r="R44" i="1"/>
  <c r="R66"/>
  <c r="J36" i="3"/>
  <c r="S5" i="1"/>
  <c r="S31" i="3"/>
  <c r="G35"/>
  <c r="R52" i="1"/>
  <c r="S75"/>
  <c r="W37" i="3"/>
  <c r="W34"/>
  <c r="S42" i="1"/>
  <c r="S92"/>
  <c r="R39" i="3"/>
  <c r="D32"/>
  <c r="R16" i="1"/>
  <c r="E36" i="3"/>
  <c r="R61" i="1"/>
  <c r="R106"/>
  <c r="F40" i="3"/>
  <c r="H32"/>
  <c r="R20" i="1"/>
  <c r="I36" i="3"/>
  <c r="R65" i="1"/>
  <c r="C37" i="3"/>
  <c r="R70" i="1"/>
  <c r="S115"/>
  <c r="R115"/>
  <c r="D41" i="3"/>
  <c r="F33"/>
  <c r="R29" i="1"/>
  <c r="G37" i="3"/>
  <c r="R74" i="1"/>
  <c r="S119"/>
  <c r="H41" i="3"/>
  <c r="R119" i="1"/>
  <c r="J33" i="3"/>
  <c r="R33" i="1"/>
  <c r="E34" i="3"/>
  <c r="R39" i="1"/>
  <c r="F38" i="3"/>
  <c r="R84" i="1"/>
  <c r="H34" i="3"/>
  <c r="R42" i="1"/>
  <c r="I38" i="3"/>
  <c r="R87" i="1"/>
  <c r="U39" i="3"/>
  <c r="S95" i="1"/>
  <c r="C42" i="3"/>
  <c r="R125" i="1"/>
  <c r="S8"/>
  <c r="V31" i="3"/>
  <c r="R6" i="1"/>
  <c r="E31" i="3"/>
  <c r="S39"/>
  <c r="S93" i="1"/>
  <c r="C38" i="3"/>
  <c r="R81" i="1"/>
  <c r="B41" i="3"/>
  <c r="R113" i="1"/>
  <c r="I42" i="3"/>
  <c r="R131" i="1"/>
  <c r="D39" i="3"/>
  <c r="R93" i="1"/>
  <c r="X40" i="3"/>
  <c r="S109" i="1"/>
  <c r="Y35" i="3"/>
  <c r="S55" i="1"/>
  <c r="R11"/>
  <c r="J31" i="3"/>
  <c r="Y38"/>
  <c r="S88" i="1"/>
  <c r="R9"/>
  <c r="H31" i="3"/>
  <c r="E35"/>
  <c r="R50" i="1"/>
  <c r="C35" i="3"/>
  <c r="R48" i="1"/>
  <c r="U36" i="3"/>
  <c r="S62" i="1"/>
  <c r="V40" i="3"/>
  <c r="S107" i="1"/>
  <c r="T33" i="3"/>
  <c r="S28" i="1"/>
  <c r="U37" i="3"/>
  <c r="S73" i="1"/>
  <c r="X33" i="3"/>
  <c r="S32" i="1"/>
  <c r="U42" i="3"/>
  <c r="S128" i="1"/>
  <c r="W42" i="3"/>
  <c r="S130" i="1"/>
  <c r="S96"/>
  <c r="V39" i="3"/>
  <c r="I28" i="2"/>
  <c r="I23"/>
  <c r="S99" i="1"/>
  <c r="S23"/>
  <c r="S110"/>
  <c r="S121"/>
  <c r="S132"/>
  <c r="I24" i="2"/>
  <c r="G4"/>
  <c r="F6"/>
  <c r="G8"/>
  <c r="F9"/>
  <c r="I22"/>
  <c r="I20"/>
  <c r="G6"/>
  <c r="I21"/>
  <c r="I27"/>
  <c r="D9"/>
  <c r="G5"/>
  <c r="I25"/>
  <c r="G3"/>
  <c r="C9"/>
  <c r="H14"/>
  <c r="H23" s="1"/>
  <c r="B9"/>
  <c r="E9"/>
  <c r="F8"/>
  <c r="AA24" i="3" l="1"/>
  <c r="AA28"/>
  <c r="AA26"/>
  <c r="L14"/>
  <c r="AA13"/>
  <c r="L25"/>
  <c r="L10"/>
  <c r="L12"/>
  <c r="L13"/>
  <c r="AA11"/>
  <c r="AA4"/>
  <c r="L5"/>
  <c r="AA9"/>
  <c r="AA5"/>
  <c r="AA8"/>
  <c r="AA6"/>
  <c r="L6"/>
  <c r="J3"/>
  <c r="J17" s="1"/>
  <c r="L4"/>
  <c r="L8"/>
  <c r="AA7"/>
  <c r="L7"/>
  <c r="L9"/>
  <c r="K8"/>
  <c r="K22" s="1"/>
  <c r="K50" s="1"/>
  <c r="K4"/>
  <c r="K18" s="1"/>
  <c r="K46" s="1"/>
  <c r="K3"/>
  <c r="K17" s="1"/>
  <c r="J8"/>
  <c r="J22" s="1"/>
  <c r="J4"/>
  <c r="J18" s="1"/>
  <c r="S5"/>
  <c r="J7"/>
  <c r="J21" s="1"/>
  <c r="K6"/>
  <c r="K20" s="1"/>
  <c r="L3"/>
  <c r="K10"/>
  <c r="J10"/>
  <c r="K7"/>
  <c r="K21" s="1"/>
  <c r="K49" s="1"/>
  <c r="J6"/>
  <c r="J20" s="1"/>
  <c r="K12"/>
  <c r="J12"/>
  <c r="K11"/>
  <c r="J11"/>
  <c r="K9"/>
  <c r="J9"/>
  <c r="K13"/>
  <c r="J13"/>
  <c r="K14"/>
  <c r="K28" s="1"/>
  <c r="J14"/>
  <c r="AA3"/>
  <c r="K5"/>
  <c r="K19" s="1"/>
  <c r="J5"/>
  <c r="J19" s="1"/>
  <c r="Z9"/>
  <c r="V9"/>
  <c r="V23" s="1"/>
  <c r="V51" s="1"/>
  <c r="X9"/>
  <c r="X23" s="1"/>
  <c r="X51" s="1"/>
  <c r="U9"/>
  <c r="U23" s="1"/>
  <c r="U51" s="1"/>
  <c r="Y9"/>
  <c r="Y23" s="1"/>
  <c r="Y51" s="1"/>
  <c r="W9"/>
  <c r="W23" s="1"/>
  <c r="W51" s="1"/>
  <c r="T9"/>
  <c r="T23" s="1"/>
  <c r="T51" s="1"/>
  <c r="S9"/>
  <c r="Z14"/>
  <c r="Z28" s="1"/>
  <c r="V14"/>
  <c r="V28" s="1"/>
  <c r="V56" s="1"/>
  <c r="X14"/>
  <c r="X28" s="1"/>
  <c r="X56" s="1"/>
  <c r="U14"/>
  <c r="U28" s="1"/>
  <c r="U56" s="1"/>
  <c r="Y14"/>
  <c r="Y28" s="1"/>
  <c r="Y56" s="1"/>
  <c r="S14"/>
  <c r="W14"/>
  <c r="W28" s="1"/>
  <c r="W56" s="1"/>
  <c r="T14"/>
  <c r="T28" s="1"/>
  <c r="T56" s="1"/>
  <c r="Z4"/>
  <c r="Y4"/>
  <c r="Y18" s="1"/>
  <c r="Y46" s="1"/>
  <c r="X4"/>
  <c r="X18" s="1"/>
  <c r="X46" s="1"/>
  <c r="W4"/>
  <c r="W18" s="1"/>
  <c r="W46" s="1"/>
  <c r="V4"/>
  <c r="V18" s="1"/>
  <c r="V46" s="1"/>
  <c r="U4"/>
  <c r="U18" s="1"/>
  <c r="U46" s="1"/>
  <c r="S4"/>
  <c r="T4"/>
  <c r="T18" s="1"/>
  <c r="T46" s="1"/>
  <c r="Z7"/>
  <c r="Y7"/>
  <c r="Y21" s="1"/>
  <c r="U7"/>
  <c r="U21" s="1"/>
  <c r="U49" s="1"/>
  <c r="V7"/>
  <c r="V21" s="1"/>
  <c r="V49" s="1"/>
  <c r="X7"/>
  <c r="X21" s="1"/>
  <c r="X49" s="1"/>
  <c r="T7"/>
  <c r="T21" s="1"/>
  <c r="T49" s="1"/>
  <c r="W7"/>
  <c r="W21" s="1"/>
  <c r="W49" s="1"/>
  <c r="S7"/>
  <c r="Z5"/>
  <c r="Z19" s="1"/>
  <c r="Y5"/>
  <c r="Y19" s="1"/>
  <c r="Y47" s="1"/>
  <c r="X5"/>
  <c r="X19" s="1"/>
  <c r="X47" s="1"/>
  <c r="U5"/>
  <c r="U19" s="1"/>
  <c r="U47" s="1"/>
  <c r="V5"/>
  <c r="V19" s="1"/>
  <c r="V47" s="1"/>
  <c r="W5"/>
  <c r="W19" s="1"/>
  <c r="W47" s="1"/>
  <c r="T5"/>
  <c r="T19" s="1"/>
  <c r="T47" s="1"/>
  <c r="Z8"/>
  <c r="U8"/>
  <c r="U22" s="1"/>
  <c r="U50" s="1"/>
  <c r="Y8"/>
  <c r="Y22" s="1"/>
  <c r="Y50" s="1"/>
  <c r="X8"/>
  <c r="X22" s="1"/>
  <c r="X50" s="1"/>
  <c r="V8"/>
  <c r="V22" s="1"/>
  <c r="V50" s="1"/>
  <c r="W8"/>
  <c r="W22" s="1"/>
  <c r="W50" s="1"/>
  <c r="T8"/>
  <c r="T22" s="1"/>
  <c r="T50" s="1"/>
  <c r="S8"/>
  <c r="Z13"/>
  <c r="Y13"/>
  <c r="Y27" s="1"/>
  <c r="Y55" s="1"/>
  <c r="V13"/>
  <c r="V27" s="1"/>
  <c r="V55" s="1"/>
  <c r="U13"/>
  <c r="U27" s="1"/>
  <c r="U55" s="1"/>
  <c r="X13"/>
  <c r="X27" s="1"/>
  <c r="X55" s="1"/>
  <c r="T13"/>
  <c r="T27" s="1"/>
  <c r="T55" s="1"/>
  <c r="S13"/>
  <c r="W13"/>
  <c r="W27" s="1"/>
  <c r="W55" s="1"/>
  <c r="Z3"/>
  <c r="Z17" s="1"/>
  <c r="Z45" s="1"/>
  <c r="U3"/>
  <c r="U17" s="1"/>
  <c r="U45" s="1"/>
  <c r="V3"/>
  <c r="V17" s="1"/>
  <c r="V45" s="1"/>
  <c r="X3"/>
  <c r="X17" s="1"/>
  <c r="X45" s="1"/>
  <c r="Y3"/>
  <c r="Y17" s="1"/>
  <c r="Y45" s="1"/>
  <c r="T3"/>
  <c r="T17" s="1"/>
  <c r="T45" s="1"/>
  <c r="S3"/>
  <c r="W3"/>
  <c r="W17" s="1"/>
  <c r="W45" s="1"/>
  <c r="Z12"/>
  <c r="V12"/>
  <c r="V26" s="1"/>
  <c r="V54" s="1"/>
  <c r="U12"/>
  <c r="U26" s="1"/>
  <c r="U54" s="1"/>
  <c r="Y12"/>
  <c r="Y26" s="1"/>
  <c r="Y54" s="1"/>
  <c r="X12"/>
  <c r="X26" s="1"/>
  <c r="X54" s="1"/>
  <c r="T12"/>
  <c r="T26" s="1"/>
  <c r="T54" s="1"/>
  <c r="W12"/>
  <c r="W26" s="1"/>
  <c r="W54" s="1"/>
  <c r="S12"/>
  <c r="Z6"/>
  <c r="V6"/>
  <c r="V20" s="1"/>
  <c r="V48" s="1"/>
  <c r="Y6"/>
  <c r="Y20" s="1"/>
  <c r="U6"/>
  <c r="U20" s="1"/>
  <c r="U48" s="1"/>
  <c r="X6"/>
  <c r="X20" s="1"/>
  <c r="X48" s="1"/>
  <c r="S6"/>
  <c r="W6"/>
  <c r="W20" s="1"/>
  <c r="W48" s="1"/>
  <c r="T6"/>
  <c r="T20" s="1"/>
  <c r="T48" s="1"/>
  <c r="Z10"/>
  <c r="U10"/>
  <c r="U24" s="1"/>
  <c r="U52" s="1"/>
  <c r="V10"/>
  <c r="V24" s="1"/>
  <c r="V52" s="1"/>
  <c r="X10"/>
  <c r="X24" s="1"/>
  <c r="X52" s="1"/>
  <c r="Y10"/>
  <c r="Y24" s="1"/>
  <c r="W10"/>
  <c r="W24" s="1"/>
  <c r="W52" s="1"/>
  <c r="S10"/>
  <c r="T10"/>
  <c r="T24" s="1"/>
  <c r="T52" s="1"/>
  <c r="Z11"/>
  <c r="X11"/>
  <c r="X25" s="1"/>
  <c r="X53" s="1"/>
  <c r="Y11"/>
  <c r="Y25" s="1"/>
  <c r="Y53" s="1"/>
  <c r="V11"/>
  <c r="V25" s="1"/>
  <c r="V53" s="1"/>
  <c r="U11"/>
  <c r="U25" s="1"/>
  <c r="U53" s="1"/>
  <c r="S11"/>
  <c r="T11"/>
  <c r="T25" s="1"/>
  <c r="T53" s="1"/>
  <c r="W11"/>
  <c r="W25" s="1"/>
  <c r="W53" s="1"/>
  <c r="I14"/>
  <c r="I28" s="1"/>
  <c r="I10"/>
  <c r="I24" s="1"/>
  <c r="I6"/>
  <c r="I20" s="1"/>
  <c r="I13"/>
  <c r="I27" s="1"/>
  <c r="I9"/>
  <c r="I23" s="1"/>
  <c r="I5"/>
  <c r="I19" s="1"/>
  <c r="I12"/>
  <c r="I26" s="1"/>
  <c r="I8"/>
  <c r="I22" s="1"/>
  <c r="I4"/>
  <c r="I18" s="1"/>
  <c r="I11"/>
  <c r="I25" s="1"/>
  <c r="I7"/>
  <c r="I21" s="1"/>
  <c r="I3"/>
  <c r="I17" s="1"/>
  <c r="C8" i="2"/>
  <c r="E7"/>
  <c r="B8"/>
  <c r="E8"/>
  <c r="E5"/>
  <c r="H25"/>
  <c r="H27"/>
  <c r="H28"/>
  <c r="H21"/>
  <c r="F4"/>
  <c r="I32"/>
  <c r="H26"/>
  <c r="H22"/>
  <c r="F5"/>
  <c r="D8"/>
  <c r="H20"/>
  <c r="G14"/>
  <c r="G22" s="1"/>
  <c r="H24"/>
  <c r="F7"/>
  <c r="F3"/>
  <c r="L21" i="3" l="1"/>
  <c r="AA19"/>
  <c r="L20"/>
  <c r="AA56"/>
  <c r="AA52"/>
  <c r="L17"/>
  <c r="AA20"/>
  <c r="AA17"/>
  <c r="L23"/>
  <c r="AA22"/>
  <c r="AA21"/>
  <c r="AA23"/>
  <c r="L19"/>
  <c r="L47"/>
  <c r="L53"/>
  <c r="AA18"/>
  <c r="AA54"/>
  <c r="AA25"/>
  <c r="L27"/>
  <c r="L26"/>
  <c r="L54" s="1"/>
  <c r="AM54" s="1"/>
  <c r="AV107" s="1"/>
  <c r="L24"/>
  <c r="L52" s="1"/>
  <c r="AA27"/>
  <c r="L28"/>
  <c r="J46"/>
  <c r="AK46" s="1"/>
  <c r="AV75" s="1"/>
  <c r="K45"/>
  <c r="AL45" s="1"/>
  <c r="AV86" s="1"/>
  <c r="AS86" s="1"/>
  <c r="AA49"/>
  <c r="J45"/>
  <c r="AK45" s="1"/>
  <c r="AV74" s="1"/>
  <c r="L22"/>
  <c r="L50" s="1"/>
  <c r="L18"/>
  <c r="L46" s="1"/>
  <c r="J50"/>
  <c r="AK50" s="1"/>
  <c r="AV79" s="1"/>
  <c r="K48"/>
  <c r="J49"/>
  <c r="J48"/>
  <c r="Z56"/>
  <c r="K56"/>
  <c r="K26"/>
  <c r="K54" s="1"/>
  <c r="Z18"/>
  <c r="Z46" s="1"/>
  <c r="AL46" s="1"/>
  <c r="AV87" s="1"/>
  <c r="K23"/>
  <c r="K51" s="1"/>
  <c r="K47"/>
  <c r="J27"/>
  <c r="J55" s="1"/>
  <c r="AK55" s="1"/>
  <c r="AV84" s="1"/>
  <c r="J25"/>
  <c r="J53" s="1"/>
  <c r="AK53" s="1"/>
  <c r="AV82" s="1"/>
  <c r="J24"/>
  <c r="J52" s="1"/>
  <c r="Z24"/>
  <c r="Z52" s="1"/>
  <c r="K27"/>
  <c r="K55" s="1"/>
  <c r="K25"/>
  <c r="K53" s="1"/>
  <c r="K24"/>
  <c r="K52" s="1"/>
  <c r="J47"/>
  <c r="AK47" s="1"/>
  <c r="AV76" s="1"/>
  <c r="Z20"/>
  <c r="Z48" s="1"/>
  <c r="Z26"/>
  <c r="Z27"/>
  <c r="Z55" s="1"/>
  <c r="J28"/>
  <c r="J56" s="1"/>
  <c r="AK56" s="1"/>
  <c r="AV85" s="1"/>
  <c r="J23"/>
  <c r="J51" s="1"/>
  <c r="AK51" s="1"/>
  <c r="J26"/>
  <c r="J54" s="1"/>
  <c r="AK54" s="1"/>
  <c r="AV83" s="1"/>
  <c r="Z47"/>
  <c r="G21" i="2"/>
  <c r="Z23" i="3"/>
  <c r="Z51" s="1"/>
  <c r="Y49"/>
  <c r="Z21"/>
  <c r="Z22"/>
  <c r="Z25"/>
  <c r="Y52"/>
  <c r="Y48"/>
  <c r="I46"/>
  <c r="AJ46" s="1"/>
  <c r="AV63" s="1"/>
  <c r="I45"/>
  <c r="AJ45" s="1"/>
  <c r="AV62" s="1"/>
  <c r="I50"/>
  <c r="AJ50" s="1"/>
  <c r="AV67" s="1"/>
  <c r="I55"/>
  <c r="AJ55" s="1"/>
  <c r="AV72" s="1"/>
  <c r="I54"/>
  <c r="AJ54" s="1"/>
  <c r="AV71" s="1"/>
  <c r="I48"/>
  <c r="AJ48" s="1"/>
  <c r="AV65" s="1"/>
  <c r="I49"/>
  <c r="AJ49" s="1"/>
  <c r="AV66" s="1"/>
  <c r="I53"/>
  <c r="AJ53" s="1"/>
  <c r="AV70" s="1"/>
  <c r="I47"/>
  <c r="AJ47" s="1"/>
  <c r="AV64" s="1"/>
  <c r="I52"/>
  <c r="AJ52" s="1"/>
  <c r="AV69" s="1"/>
  <c r="I51"/>
  <c r="AJ51" s="1"/>
  <c r="I56"/>
  <c r="AJ56" s="1"/>
  <c r="AV73" s="1"/>
  <c r="H32" i="2"/>
  <c r="H14" i="3"/>
  <c r="H28" s="1"/>
  <c r="H10"/>
  <c r="H24" s="1"/>
  <c r="H6"/>
  <c r="H20" s="1"/>
  <c r="H13"/>
  <c r="H27" s="1"/>
  <c r="H9"/>
  <c r="H23" s="1"/>
  <c r="H5"/>
  <c r="H19" s="1"/>
  <c r="H12"/>
  <c r="H26" s="1"/>
  <c r="H8"/>
  <c r="H22" s="1"/>
  <c r="H4"/>
  <c r="H18" s="1"/>
  <c r="H11"/>
  <c r="H25" s="1"/>
  <c r="H7"/>
  <c r="H21" s="1"/>
  <c r="H3"/>
  <c r="H17" s="1"/>
  <c r="F14" i="2"/>
  <c r="F20" s="1"/>
  <c r="G28"/>
  <c r="G27"/>
  <c r="G24"/>
  <c r="G26"/>
  <c r="C7"/>
  <c r="D6"/>
  <c r="E3"/>
  <c r="D7"/>
  <c r="G25"/>
  <c r="G20"/>
  <c r="G23"/>
  <c r="D4"/>
  <c r="E6"/>
  <c r="E4"/>
  <c r="B7"/>
  <c r="AA55" i="3" l="1"/>
  <c r="AM55" s="1"/>
  <c r="AV108" s="1"/>
  <c r="AA45"/>
  <c r="AM52"/>
  <c r="AV105" s="1"/>
  <c r="AA46"/>
  <c r="AA50"/>
  <c r="AM50" s="1"/>
  <c r="AV103" s="1"/>
  <c r="AU103" s="1"/>
  <c r="AA47"/>
  <c r="AM47" s="1"/>
  <c r="AV100" s="1"/>
  <c r="L51"/>
  <c r="AA48"/>
  <c r="L55"/>
  <c r="AA53"/>
  <c r="AM53" s="1"/>
  <c r="AV106" s="1"/>
  <c r="AS106" s="1"/>
  <c r="L56"/>
  <c r="AM56" s="1"/>
  <c r="AV109" s="1"/>
  <c r="AT109" s="1"/>
  <c r="AA51"/>
  <c r="L45"/>
  <c r="L49"/>
  <c r="AM49" s="1"/>
  <c r="AV102" s="1"/>
  <c r="AM46"/>
  <c r="AV99" s="1"/>
  <c r="AT99" s="1"/>
  <c r="L48"/>
  <c r="AU106"/>
  <c r="AR106"/>
  <c r="AU105"/>
  <c r="AS105"/>
  <c r="AQ105"/>
  <c r="AR105"/>
  <c r="AT105"/>
  <c r="AS107"/>
  <c r="AR107"/>
  <c r="AU107"/>
  <c r="AQ107"/>
  <c r="AT107"/>
  <c r="AV80"/>
  <c r="AU80" s="1"/>
  <c r="AV68"/>
  <c r="AR68" s="1"/>
  <c r="AJ58"/>
  <c r="AT86"/>
  <c r="AR86"/>
  <c r="AL48"/>
  <c r="AV89" s="1"/>
  <c r="AS89" s="1"/>
  <c r="AU86"/>
  <c r="AK48"/>
  <c r="AV77" s="1"/>
  <c r="AT77" s="1"/>
  <c r="AK49"/>
  <c r="AV78" s="1"/>
  <c r="AT78" s="1"/>
  <c r="AQ86"/>
  <c r="AU67"/>
  <c r="AS67"/>
  <c r="AR67"/>
  <c r="AT67"/>
  <c r="AU74"/>
  <c r="AS74"/>
  <c r="AR74"/>
  <c r="AT74"/>
  <c r="AT65"/>
  <c r="AU65"/>
  <c r="AS65"/>
  <c r="AR65"/>
  <c r="AU85"/>
  <c r="AS85"/>
  <c r="AR85"/>
  <c r="AT85"/>
  <c r="AU64"/>
  <c r="AS64"/>
  <c r="AR64"/>
  <c r="AT64"/>
  <c r="AU71"/>
  <c r="AS71"/>
  <c r="AR71"/>
  <c r="AT71"/>
  <c r="AU63"/>
  <c r="AS63"/>
  <c r="AR63"/>
  <c r="AT63"/>
  <c r="AU76"/>
  <c r="AS76"/>
  <c r="AR76"/>
  <c r="AT76"/>
  <c r="AU84"/>
  <c r="AS84"/>
  <c r="AR84"/>
  <c r="AT84"/>
  <c r="AU87"/>
  <c r="AS87"/>
  <c r="AR87"/>
  <c r="AT87"/>
  <c r="AT66"/>
  <c r="AU66"/>
  <c r="AS66"/>
  <c r="AR66"/>
  <c r="AU69"/>
  <c r="AS69"/>
  <c r="AR69"/>
  <c r="AT69"/>
  <c r="AU62"/>
  <c r="AT62"/>
  <c r="AS62"/>
  <c r="AR62"/>
  <c r="AU75"/>
  <c r="AS75"/>
  <c r="AR75"/>
  <c r="AT75"/>
  <c r="AT82"/>
  <c r="AU82"/>
  <c r="AS82"/>
  <c r="AR82"/>
  <c r="AU73"/>
  <c r="AT73"/>
  <c r="AS73"/>
  <c r="AR73"/>
  <c r="AU70"/>
  <c r="AS70"/>
  <c r="AR70"/>
  <c r="AT70"/>
  <c r="AU72"/>
  <c r="AS72"/>
  <c r="AR72"/>
  <c r="AT72"/>
  <c r="AU79"/>
  <c r="AS79"/>
  <c r="AR79"/>
  <c r="AT79"/>
  <c r="AU83"/>
  <c r="AT83"/>
  <c r="AS83"/>
  <c r="AR83"/>
  <c r="AL47"/>
  <c r="AV88" s="1"/>
  <c r="AQ88" s="1"/>
  <c r="AQ82"/>
  <c r="AQ73"/>
  <c r="AQ70"/>
  <c r="AQ72"/>
  <c r="AQ85"/>
  <c r="AQ84"/>
  <c r="AQ67"/>
  <c r="AK52"/>
  <c r="AV81" s="1"/>
  <c r="AQ87"/>
  <c r="AQ69"/>
  <c r="AQ65"/>
  <c r="AQ62"/>
  <c r="AQ74"/>
  <c r="AQ76"/>
  <c r="AQ66"/>
  <c r="AQ79"/>
  <c r="AQ83"/>
  <c r="AQ64"/>
  <c r="AQ71"/>
  <c r="AQ63"/>
  <c r="AQ75"/>
  <c r="AL56"/>
  <c r="AV97" s="1"/>
  <c r="AL55"/>
  <c r="AV96" s="1"/>
  <c r="AL51"/>
  <c r="AL52"/>
  <c r="AV93" s="1"/>
  <c r="Z50"/>
  <c r="AL50" s="1"/>
  <c r="AV91" s="1"/>
  <c r="Z54"/>
  <c r="AL54" s="1"/>
  <c r="AV95" s="1"/>
  <c r="Z49"/>
  <c r="AL49" s="1"/>
  <c r="AV90" s="1"/>
  <c r="Z53"/>
  <c r="AL53" s="1"/>
  <c r="AV94" s="1"/>
  <c r="F22" i="2"/>
  <c r="F21"/>
  <c r="F24"/>
  <c r="H45" i="3"/>
  <c r="AI45" s="1"/>
  <c r="AV50" s="1"/>
  <c r="H55"/>
  <c r="AI55" s="1"/>
  <c r="AV60" s="1"/>
  <c r="H49"/>
  <c r="AI49" s="1"/>
  <c r="AV54" s="1"/>
  <c r="H54"/>
  <c r="AI54" s="1"/>
  <c r="AV59" s="1"/>
  <c r="H48"/>
  <c r="AI48" s="1"/>
  <c r="AV53" s="1"/>
  <c r="H47"/>
  <c r="AI47" s="1"/>
  <c r="AV52" s="1"/>
  <c r="H53"/>
  <c r="AI53" s="1"/>
  <c r="AV58" s="1"/>
  <c r="H52"/>
  <c r="AI52" s="1"/>
  <c r="AV57" s="1"/>
  <c r="H46"/>
  <c r="AI46" s="1"/>
  <c r="AV51" s="1"/>
  <c r="H51"/>
  <c r="AI51" s="1"/>
  <c r="H56"/>
  <c r="AI56" s="1"/>
  <c r="AV61" s="1"/>
  <c r="H50"/>
  <c r="AI50" s="1"/>
  <c r="AV55" s="1"/>
  <c r="G32" i="2"/>
  <c r="G13" i="3"/>
  <c r="G27" s="1"/>
  <c r="G9"/>
  <c r="G23" s="1"/>
  <c r="G5"/>
  <c r="G19" s="1"/>
  <c r="G12"/>
  <c r="G26" s="1"/>
  <c r="G8"/>
  <c r="G22" s="1"/>
  <c r="G4"/>
  <c r="G18" s="1"/>
  <c r="G11"/>
  <c r="G25" s="1"/>
  <c r="G7"/>
  <c r="G21" s="1"/>
  <c r="G14"/>
  <c r="G28" s="1"/>
  <c r="G10"/>
  <c r="G24" s="1"/>
  <c r="G6"/>
  <c r="G20" s="1"/>
  <c r="G3"/>
  <c r="G17" s="1"/>
  <c r="D3" i="2"/>
  <c r="E14"/>
  <c r="B6"/>
  <c r="C3"/>
  <c r="D5"/>
  <c r="C6"/>
  <c r="C5"/>
  <c r="F28"/>
  <c r="F27"/>
  <c r="F26"/>
  <c r="F23"/>
  <c r="F25"/>
  <c r="AM45" i="3" l="1"/>
  <c r="AV98" s="1"/>
  <c r="AS98" s="1"/>
  <c r="AT100"/>
  <c r="AQ100"/>
  <c r="AS100"/>
  <c r="AR100"/>
  <c r="AU100"/>
  <c r="AQ109"/>
  <c r="AT103"/>
  <c r="AS109"/>
  <c r="AQ99"/>
  <c r="AT106"/>
  <c r="AR109"/>
  <c r="AM51"/>
  <c r="AV104" s="1"/>
  <c r="AU104" s="1"/>
  <c r="AM48"/>
  <c r="AV101" s="1"/>
  <c r="AQ103"/>
  <c r="AU99"/>
  <c r="AQ106"/>
  <c r="AS103"/>
  <c r="AU109"/>
  <c r="AR99"/>
  <c r="AR103"/>
  <c r="AS99"/>
  <c r="AQ68"/>
  <c r="AT68"/>
  <c r="AS68"/>
  <c r="AU68"/>
  <c r="AR102"/>
  <c r="AS102"/>
  <c r="AT102"/>
  <c r="AU102"/>
  <c r="AQ102"/>
  <c r="AT108"/>
  <c r="AQ108"/>
  <c r="AR108"/>
  <c r="AU108"/>
  <c r="AS108"/>
  <c r="AR77"/>
  <c r="AS77"/>
  <c r="AT80"/>
  <c r="AR80"/>
  <c r="AQ80"/>
  <c r="AS80"/>
  <c r="AK58"/>
  <c r="AV92"/>
  <c r="AU92" s="1"/>
  <c r="AL58"/>
  <c r="AV56"/>
  <c r="AU56" s="1"/>
  <c r="AI58"/>
  <c r="AQ104"/>
  <c r="AT104"/>
  <c r="AQ77"/>
  <c r="AU77"/>
  <c r="AT89"/>
  <c r="AU89"/>
  <c r="AQ78"/>
  <c r="AQ89"/>
  <c r="AR89"/>
  <c r="AR78"/>
  <c r="AU78"/>
  <c r="AS78"/>
  <c r="AU57"/>
  <c r="AT57"/>
  <c r="AS57"/>
  <c r="AR57"/>
  <c r="AU90"/>
  <c r="AS90"/>
  <c r="AR90"/>
  <c r="AT90"/>
  <c r="AU54"/>
  <c r="AS54"/>
  <c r="AR54"/>
  <c r="AT54"/>
  <c r="AU96"/>
  <c r="AS96"/>
  <c r="AR96"/>
  <c r="AT96"/>
  <c r="AU52"/>
  <c r="AS52"/>
  <c r="AR52"/>
  <c r="AT52"/>
  <c r="AU60"/>
  <c r="AS60"/>
  <c r="AR60"/>
  <c r="AT60"/>
  <c r="AU91"/>
  <c r="AS91"/>
  <c r="AR91"/>
  <c r="AT91"/>
  <c r="AU98"/>
  <c r="AU55"/>
  <c r="AS55"/>
  <c r="AR55"/>
  <c r="AT55"/>
  <c r="AU59"/>
  <c r="AS59"/>
  <c r="AR59"/>
  <c r="AT59"/>
  <c r="AT61"/>
  <c r="AU61"/>
  <c r="AS61"/>
  <c r="AR61"/>
  <c r="AU58"/>
  <c r="AS58"/>
  <c r="AR58"/>
  <c r="AT58"/>
  <c r="AU95"/>
  <c r="AS95"/>
  <c r="AR95"/>
  <c r="AT95"/>
  <c r="AU51"/>
  <c r="AS51"/>
  <c r="AR51"/>
  <c r="AT51"/>
  <c r="AU53"/>
  <c r="AS53"/>
  <c r="AR53"/>
  <c r="AT53"/>
  <c r="AU50"/>
  <c r="AS50"/>
  <c r="AR50"/>
  <c r="AT50"/>
  <c r="AU94"/>
  <c r="AT94"/>
  <c r="AS94"/>
  <c r="AR94"/>
  <c r="AT93"/>
  <c r="AU93"/>
  <c r="AS93"/>
  <c r="AR93"/>
  <c r="AT97"/>
  <c r="AU97"/>
  <c r="AS97"/>
  <c r="AR97"/>
  <c r="AT81"/>
  <c r="AU81"/>
  <c r="AS81"/>
  <c r="AR81"/>
  <c r="AU88"/>
  <c r="AS88"/>
  <c r="AR88"/>
  <c r="AT88"/>
  <c r="AQ53"/>
  <c r="AQ94"/>
  <c r="AQ97"/>
  <c r="AQ57"/>
  <c r="AQ90"/>
  <c r="AQ61"/>
  <c r="AQ58"/>
  <c r="AQ54"/>
  <c r="AQ95"/>
  <c r="AQ96"/>
  <c r="AQ81"/>
  <c r="AQ51"/>
  <c r="AQ50"/>
  <c r="AQ93"/>
  <c r="AQ55"/>
  <c r="AQ59"/>
  <c r="AQ52"/>
  <c r="AQ60"/>
  <c r="AQ91"/>
  <c r="F32" i="2"/>
  <c r="G46" i="3"/>
  <c r="AH46" s="1"/>
  <c r="AV39" s="1"/>
  <c r="G51"/>
  <c r="AH51" s="1"/>
  <c r="G45"/>
  <c r="AH45" s="1"/>
  <c r="AV38" s="1"/>
  <c r="G48"/>
  <c r="AH48" s="1"/>
  <c r="AV41" s="1"/>
  <c r="G53"/>
  <c r="AH53" s="1"/>
  <c r="AV46" s="1"/>
  <c r="G47"/>
  <c r="AH47" s="1"/>
  <c r="AV40" s="1"/>
  <c r="G52"/>
  <c r="AH52" s="1"/>
  <c r="AV45" s="1"/>
  <c r="G56"/>
  <c r="AH56" s="1"/>
  <c r="AV49" s="1"/>
  <c r="G50"/>
  <c r="AH50" s="1"/>
  <c r="AV43" s="1"/>
  <c r="G55"/>
  <c r="AH55" s="1"/>
  <c r="AV48" s="1"/>
  <c r="G49"/>
  <c r="AH49" s="1"/>
  <c r="AV42" s="1"/>
  <c r="G54"/>
  <c r="AH54" s="1"/>
  <c r="AV47" s="1"/>
  <c r="F13"/>
  <c r="F27" s="1"/>
  <c r="F11"/>
  <c r="F25" s="1"/>
  <c r="F6"/>
  <c r="F20" s="1"/>
  <c r="F3"/>
  <c r="F17" s="1"/>
  <c r="F5"/>
  <c r="F19" s="1"/>
  <c r="F10"/>
  <c r="F24" s="1"/>
  <c r="F7"/>
  <c r="F21" s="1"/>
  <c r="F8"/>
  <c r="F22" s="1"/>
  <c r="F12"/>
  <c r="F26" s="1"/>
  <c r="F4"/>
  <c r="F18" s="1"/>
  <c r="F9"/>
  <c r="F23" s="1"/>
  <c r="F14"/>
  <c r="F28" s="1"/>
  <c r="E28" i="2"/>
  <c r="E27"/>
  <c r="E26"/>
  <c r="E24"/>
  <c r="E25"/>
  <c r="E22"/>
  <c r="B4"/>
  <c r="C4"/>
  <c r="C14" s="1"/>
  <c r="C20" s="1"/>
  <c r="E21"/>
  <c r="D14"/>
  <c r="E23"/>
  <c r="B5"/>
  <c r="E20"/>
  <c r="AT98" i="3" l="1"/>
  <c r="AQ98"/>
  <c r="AR98"/>
  <c r="AR101"/>
  <c r="AS101"/>
  <c r="AT101"/>
  <c r="AU101"/>
  <c r="AQ101"/>
  <c r="AS104"/>
  <c r="AM58"/>
  <c r="AR104"/>
  <c r="AR92"/>
  <c r="AT92"/>
  <c r="AQ56"/>
  <c r="AS92"/>
  <c r="AQ92"/>
  <c r="AT56"/>
  <c r="AR56"/>
  <c r="AS56"/>
  <c r="AV44"/>
  <c r="AQ44" s="1"/>
  <c r="AH58"/>
  <c r="AU43"/>
  <c r="AS43"/>
  <c r="AR43"/>
  <c r="AT43"/>
  <c r="AU47"/>
  <c r="AS47"/>
  <c r="AR47"/>
  <c r="AT47"/>
  <c r="AU39"/>
  <c r="AS39"/>
  <c r="AR39"/>
  <c r="AT39"/>
  <c r="AU49"/>
  <c r="AS49"/>
  <c r="AR49"/>
  <c r="AT49"/>
  <c r="AU42"/>
  <c r="AS42"/>
  <c r="AR42"/>
  <c r="AT42"/>
  <c r="AU45"/>
  <c r="AS45"/>
  <c r="AR45"/>
  <c r="AT45"/>
  <c r="AU38"/>
  <c r="AS38"/>
  <c r="AR38"/>
  <c r="AT38"/>
  <c r="AU46"/>
  <c r="AS46"/>
  <c r="AR46"/>
  <c r="AT46"/>
  <c r="AU41"/>
  <c r="AR41"/>
  <c r="AT41"/>
  <c r="AS41"/>
  <c r="AU48"/>
  <c r="AS48"/>
  <c r="AR48"/>
  <c r="AT48"/>
  <c r="AU40"/>
  <c r="AS40"/>
  <c r="AR40"/>
  <c r="AT40"/>
  <c r="AQ46"/>
  <c r="AQ47"/>
  <c r="AQ41"/>
  <c r="AQ42"/>
  <c r="AQ45"/>
  <c r="AQ38"/>
  <c r="AQ43"/>
  <c r="AQ39"/>
  <c r="AQ49"/>
  <c r="AQ48"/>
  <c r="AQ40"/>
  <c r="C23" i="2"/>
  <c r="F49" i="3"/>
  <c r="AG49" s="1"/>
  <c r="AV30" s="1"/>
  <c r="F52"/>
  <c r="AG52" s="1"/>
  <c r="AV33" s="1"/>
  <c r="F47"/>
  <c r="AG47" s="1"/>
  <c r="AV28" s="1"/>
  <c r="F55"/>
  <c r="AG55" s="1"/>
  <c r="AV36" s="1"/>
  <c r="F56"/>
  <c r="AG56" s="1"/>
  <c r="AV37" s="1"/>
  <c r="F50"/>
  <c r="AG50" s="1"/>
  <c r="AV31" s="1"/>
  <c r="F45"/>
  <c r="AG45" s="1"/>
  <c r="AV26" s="1"/>
  <c r="F48"/>
  <c r="AG48" s="1"/>
  <c r="AV29" s="1"/>
  <c r="F53"/>
  <c r="AG53" s="1"/>
  <c r="AV34" s="1"/>
  <c r="F51"/>
  <c r="AG51" s="1"/>
  <c r="F46"/>
  <c r="AG46" s="1"/>
  <c r="AV27" s="1"/>
  <c r="F54"/>
  <c r="AG54" s="1"/>
  <c r="AV35" s="1"/>
  <c r="C22" i="2"/>
  <c r="E32"/>
  <c r="E14" i="3"/>
  <c r="E28" s="1"/>
  <c r="E10"/>
  <c r="E24" s="1"/>
  <c r="E6"/>
  <c r="E20" s="1"/>
  <c r="E13"/>
  <c r="E27" s="1"/>
  <c r="E9"/>
  <c r="E23" s="1"/>
  <c r="E5"/>
  <c r="E19" s="1"/>
  <c r="E12"/>
  <c r="E26" s="1"/>
  <c r="E8"/>
  <c r="E22" s="1"/>
  <c r="E4"/>
  <c r="E18" s="1"/>
  <c r="E11"/>
  <c r="E25" s="1"/>
  <c r="E7"/>
  <c r="E21" s="1"/>
  <c r="E3"/>
  <c r="E17" s="1"/>
  <c r="D28" i="2"/>
  <c r="D27"/>
  <c r="D26"/>
  <c r="D25"/>
  <c r="D21"/>
  <c r="D23"/>
  <c r="D24"/>
  <c r="D20"/>
  <c r="B14"/>
  <c r="B22" s="1"/>
  <c r="D22"/>
  <c r="C28"/>
  <c r="C27"/>
  <c r="C26"/>
  <c r="C25"/>
  <c r="C24"/>
  <c r="C21"/>
  <c r="C12" i="3" l="1"/>
  <c r="AR44"/>
  <c r="AT44"/>
  <c r="AS44"/>
  <c r="AU44"/>
  <c r="AV32"/>
  <c r="AT32" s="1"/>
  <c r="AG58"/>
  <c r="D3"/>
  <c r="D17" s="1"/>
  <c r="AS26"/>
  <c r="AR26"/>
  <c r="AT26"/>
  <c r="AU26"/>
  <c r="AU31"/>
  <c r="AS31"/>
  <c r="AR31"/>
  <c r="AT31"/>
  <c r="AU27"/>
  <c r="AS27"/>
  <c r="AR27"/>
  <c r="AT27"/>
  <c r="AU34"/>
  <c r="AS34"/>
  <c r="AR34"/>
  <c r="AT34"/>
  <c r="AU37"/>
  <c r="AS37"/>
  <c r="AR37"/>
  <c r="AT37"/>
  <c r="AU30"/>
  <c r="AS30"/>
  <c r="AR30"/>
  <c r="AT30"/>
  <c r="AU28"/>
  <c r="AS28"/>
  <c r="AR28"/>
  <c r="AT28"/>
  <c r="AU33"/>
  <c r="AS33"/>
  <c r="AR33"/>
  <c r="AT33"/>
  <c r="AU35"/>
  <c r="AR35"/>
  <c r="AT35"/>
  <c r="AS35"/>
  <c r="AU29"/>
  <c r="AS29"/>
  <c r="AR29"/>
  <c r="AT29"/>
  <c r="AU36"/>
  <c r="AS36"/>
  <c r="AR36"/>
  <c r="AT36"/>
  <c r="AQ27"/>
  <c r="AQ28"/>
  <c r="AQ33"/>
  <c r="AQ34"/>
  <c r="AQ37"/>
  <c r="AQ30"/>
  <c r="AQ26"/>
  <c r="AQ31"/>
  <c r="AQ35"/>
  <c r="AQ29"/>
  <c r="AQ36"/>
  <c r="C6"/>
  <c r="E53"/>
  <c r="AF53" s="1"/>
  <c r="AV22" s="1"/>
  <c r="E47"/>
  <c r="AF47" s="1"/>
  <c r="AV16" s="1"/>
  <c r="E52"/>
  <c r="AF52" s="1"/>
  <c r="AV21" s="1"/>
  <c r="E49"/>
  <c r="AF49" s="1"/>
  <c r="AV18" s="1"/>
  <c r="E46"/>
  <c r="AF46" s="1"/>
  <c r="AV15" s="1"/>
  <c r="E56"/>
  <c r="AF56" s="1"/>
  <c r="AV25" s="1"/>
  <c r="E48"/>
  <c r="AF48" s="1"/>
  <c r="AV17" s="1"/>
  <c r="E51"/>
  <c r="AF51" s="1"/>
  <c r="E45"/>
  <c r="AF45" s="1"/>
  <c r="AV14" s="1"/>
  <c r="E50"/>
  <c r="AF50" s="1"/>
  <c r="AV19" s="1"/>
  <c r="E55"/>
  <c r="AF55" s="1"/>
  <c r="AV24" s="1"/>
  <c r="E54"/>
  <c r="AF54" s="1"/>
  <c r="AV23" s="1"/>
  <c r="C32" i="2"/>
  <c r="C7" i="3"/>
  <c r="C10"/>
  <c r="C11"/>
  <c r="C9"/>
  <c r="D32" i="2"/>
  <c r="D14" i="3"/>
  <c r="D28" s="1"/>
  <c r="D10"/>
  <c r="D24" s="1"/>
  <c r="D6"/>
  <c r="D20" s="1"/>
  <c r="D13"/>
  <c r="D27" s="1"/>
  <c r="D9"/>
  <c r="D23" s="1"/>
  <c r="D5"/>
  <c r="D19" s="1"/>
  <c r="D12"/>
  <c r="D26" s="1"/>
  <c r="D8"/>
  <c r="D22" s="1"/>
  <c r="D4"/>
  <c r="D18" s="1"/>
  <c r="D11"/>
  <c r="D25" s="1"/>
  <c r="D7"/>
  <c r="D21" s="1"/>
  <c r="C14"/>
  <c r="C8"/>
  <c r="C13"/>
  <c r="B28" i="2"/>
  <c r="B27"/>
  <c r="B26"/>
  <c r="B25"/>
  <c r="B24"/>
  <c r="B23"/>
  <c r="B21"/>
  <c r="AQ32" i="3" l="1"/>
  <c r="AR32"/>
  <c r="AS32"/>
  <c r="AU32"/>
  <c r="AV20"/>
  <c r="AU20" s="1"/>
  <c r="AF58"/>
  <c r="AU17"/>
  <c r="AS17"/>
  <c r="AR17"/>
  <c r="AT17"/>
  <c r="AU25"/>
  <c r="AS25"/>
  <c r="AR25"/>
  <c r="AT25"/>
  <c r="AU14"/>
  <c r="AR14"/>
  <c r="AT14"/>
  <c r="AS14"/>
  <c r="AU15"/>
  <c r="AS15"/>
  <c r="AR15"/>
  <c r="AT15"/>
  <c r="AU22"/>
  <c r="AS22"/>
  <c r="AR22"/>
  <c r="AT22"/>
  <c r="AU24"/>
  <c r="AS24"/>
  <c r="AR24"/>
  <c r="AT24"/>
  <c r="AS21"/>
  <c r="AR21"/>
  <c r="AT21"/>
  <c r="AU21"/>
  <c r="AU19"/>
  <c r="AR19"/>
  <c r="AT19"/>
  <c r="AS19"/>
  <c r="AU16"/>
  <c r="AS16"/>
  <c r="AR16"/>
  <c r="AT16"/>
  <c r="AU23"/>
  <c r="AS23"/>
  <c r="AR23"/>
  <c r="AT23"/>
  <c r="AU18"/>
  <c r="AS18"/>
  <c r="AR18"/>
  <c r="AT18"/>
  <c r="AQ24"/>
  <c r="AQ17"/>
  <c r="AQ21"/>
  <c r="AQ19"/>
  <c r="AQ25"/>
  <c r="AQ16"/>
  <c r="AQ14"/>
  <c r="AQ15"/>
  <c r="AQ22"/>
  <c r="AQ23"/>
  <c r="AQ18"/>
  <c r="B32" i="2"/>
  <c r="D46" i="3"/>
  <c r="D56"/>
  <c r="D45"/>
  <c r="D55"/>
  <c r="D47"/>
  <c r="D51"/>
  <c r="D50"/>
  <c r="D49"/>
  <c r="D54"/>
  <c r="D48"/>
  <c r="D53"/>
  <c r="D52"/>
  <c r="AT20" l="1"/>
  <c r="AE49"/>
  <c r="AV6" s="1"/>
  <c r="AE50"/>
  <c r="AV7" s="1"/>
  <c r="AQ7" s="1"/>
  <c r="AE45"/>
  <c r="AV2" s="1"/>
  <c r="AE46"/>
  <c r="AV3" s="1"/>
  <c r="AE47"/>
  <c r="AV4" s="1"/>
  <c r="AE48"/>
  <c r="AV5" s="1"/>
  <c r="AE55"/>
  <c r="AV12" s="1"/>
  <c r="AE53"/>
  <c r="AV10" s="1"/>
  <c r="AE52"/>
  <c r="AV9" s="1"/>
  <c r="AE56"/>
  <c r="AV13" s="1"/>
  <c r="AE54"/>
  <c r="AV11" s="1"/>
  <c r="AE51"/>
  <c r="AV8" s="1"/>
  <c r="AQ20"/>
  <c r="AR20"/>
  <c r="AS20"/>
  <c r="AU6" l="1"/>
  <c r="AT6"/>
  <c r="AQ6"/>
  <c r="AS6"/>
  <c r="AR6"/>
  <c r="AU4"/>
  <c r="AT4"/>
  <c r="AS4"/>
  <c r="AR4"/>
  <c r="AQ4"/>
  <c r="AU3"/>
  <c r="AS3"/>
  <c r="AR3"/>
  <c r="AT3"/>
  <c r="AQ3"/>
  <c r="AU2"/>
  <c r="AQ2"/>
  <c r="AS2"/>
  <c r="AR2"/>
  <c r="AT2"/>
  <c r="AT7"/>
  <c r="AR7"/>
  <c r="AS7"/>
  <c r="AU7"/>
  <c r="AR5"/>
  <c r="AU5"/>
  <c r="AS5"/>
  <c r="AQ5"/>
  <c r="AT5"/>
  <c r="AU8"/>
  <c r="AT8"/>
  <c r="AR10"/>
  <c r="AQ10"/>
  <c r="AS10"/>
  <c r="AT10"/>
  <c r="AU10"/>
  <c r="AS12"/>
  <c r="AR12"/>
  <c r="AT12"/>
  <c r="AU12"/>
  <c r="AQ12"/>
  <c r="AR13"/>
  <c r="AS13"/>
  <c r="AT13"/>
  <c r="AQ13"/>
  <c r="AU13"/>
  <c r="AS9"/>
  <c r="AT9"/>
  <c r="AU9"/>
  <c r="AR9"/>
  <c r="AQ9"/>
  <c r="AT11"/>
  <c r="AU11"/>
  <c r="AS11"/>
  <c r="AR11"/>
  <c r="AQ11"/>
  <c r="AR8"/>
  <c r="AS8"/>
  <c r="AQ8"/>
  <c r="AE58"/>
</calcChain>
</file>

<file path=xl/comments1.xml><?xml version="1.0" encoding="utf-8"?>
<comments xmlns="http://schemas.openxmlformats.org/spreadsheetml/2006/main">
  <authors>
    <author>Deichert</author>
  </authors>
  <commentList>
    <comment ref="DQ5" authorId="0">
      <text>
        <r>
          <rPr>
            <b/>
            <sz val="8"/>
            <color indexed="81"/>
            <rFont val="Tahoma"/>
            <family val="2"/>
          </rPr>
          <t>Deichert:</t>
        </r>
        <r>
          <rPr>
            <sz val="8"/>
            <color indexed="81"/>
            <rFont val="Tahoma"/>
            <family val="2"/>
          </rPr>
          <t xml:space="preserve">
Old CPI</t>
        </r>
      </text>
    </comment>
  </commentList>
</comments>
</file>

<file path=xl/sharedStrings.xml><?xml version="1.0" encoding="utf-8"?>
<sst xmlns="http://schemas.openxmlformats.org/spreadsheetml/2006/main" count="198" uniqueCount="181">
  <si>
    <t>Date (MMM-YY)</t>
  </si>
  <si>
    <t>Price</t>
  </si>
  <si>
    <t>Month</t>
  </si>
  <si>
    <t>Year</t>
  </si>
  <si>
    <t>CQGR</t>
  </si>
  <si>
    <t>CAGR</t>
  </si>
  <si>
    <t>Date</t>
  </si>
  <si>
    <t>QW2014</t>
  </si>
  <si>
    <t>QW2013</t>
  </si>
  <si>
    <t>QW2006</t>
  </si>
  <si>
    <t>QW2007</t>
  </si>
  <si>
    <t>QW2008</t>
  </si>
  <si>
    <t>QW2009</t>
  </si>
  <si>
    <t>QW2010</t>
  </si>
  <si>
    <t>QW2011</t>
  </si>
  <si>
    <t>QW2012</t>
  </si>
  <si>
    <t>AN2007</t>
  </si>
  <si>
    <t>AN2008</t>
  </si>
  <si>
    <t>AN2009</t>
  </si>
  <si>
    <t>AN2010</t>
  </si>
  <si>
    <t>AN2011</t>
  </si>
  <si>
    <t>AN2012</t>
  </si>
  <si>
    <t>AN2013</t>
  </si>
  <si>
    <t>AN2014</t>
  </si>
  <si>
    <t>QN14</t>
  </si>
  <si>
    <t>QN13</t>
  </si>
  <si>
    <t>QN6</t>
  </si>
  <si>
    <t>QN7</t>
  </si>
  <si>
    <t>QN8</t>
  </si>
  <si>
    <t>QN9</t>
  </si>
  <si>
    <t>QN10</t>
  </si>
  <si>
    <t>QN11</t>
  </si>
  <si>
    <t>QN12</t>
  </si>
  <si>
    <t>Qwavg2006</t>
  </si>
  <si>
    <t>Qwavg2007</t>
  </si>
  <si>
    <t>Qwavg2008</t>
  </si>
  <si>
    <t>Qwavg2009</t>
  </si>
  <si>
    <t>Qwavg2010</t>
  </si>
  <si>
    <t>Qwavg2011</t>
  </si>
  <si>
    <t>Qwavg2012</t>
  </si>
  <si>
    <t>Qwavg2013</t>
  </si>
  <si>
    <t>Qwavg2014</t>
  </si>
  <si>
    <t>Qwsd2006</t>
  </si>
  <si>
    <t>Qwsd2007</t>
  </si>
  <si>
    <t>Qwsd2008</t>
  </si>
  <si>
    <t>Qwsd2009</t>
  </si>
  <si>
    <t>Qwsd2010</t>
  </si>
  <si>
    <t>Qwsd2011</t>
  </si>
  <si>
    <t>Qwsd2012</t>
  </si>
  <si>
    <t>Qwsd2013</t>
  </si>
  <si>
    <t>Qwsd2014</t>
  </si>
  <si>
    <t>Awavg2007</t>
  </si>
  <si>
    <t>Awavg2008</t>
  </si>
  <si>
    <t>Awavg2009</t>
  </si>
  <si>
    <t>Awavg2010</t>
  </si>
  <si>
    <t>Awavg2011</t>
  </si>
  <si>
    <t>Awavg2012</t>
  </si>
  <si>
    <t>Awavg2013</t>
  </si>
  <si>
    <t>Awavg2014</t>
  </si>
  <si>
    <t>Awsd2007</t>
  </si>
  <si>
    <t>Awsd2008</t>
  </si>
  <si>
    <t>Awsd2009</t>
  </si>
  <si>
    <t>Awsd2010</t>
  </si>
  <si>
    <t>Awsd2011</t>
  </si>
  <si>
    <t>Awsd2012</t>
  </si>
  <si>
    <t>Awsd2013</t>
  </si>
  <si>
    <t>Awsd2014</t>
  </si>
  <si>
    <t>AN_07</t>
  </si>
  <si>
    <t>AN_08</t>
  </si>
  <si>
    <t>AN_09</t>
  </si>
  <si>
    <t>AN_10</t>
  </si>
  <si>
    <t>AN_11</t>
  </si>
  <si>
    <t>AN_12</t>
  </si>
  <si>
    <t>AN_13</t>
  </si>
  <si>
    <t>AN_14</t>
  </si>
  <si>
    <t>IPA</t>
  </si>
  <si>
    <t>month</t>
  </si>
  <si>
    <t>cqgr2006</t>
  </si>
  <si>
    <t>cqgr2007</t>
  </si>
  <si>
    <t>cqgr2008</t>
  </si>
  <si>
    <t>cqgr2009</t>
  </si>
  <si>
    <t>cqgr2010</t>
  </si>
  <si>
    <t>cqgr2011</t>
  </si>
  <si>
    <t>cqgr2012</t>
  </si>
  <si>
    <t>cqgr2013</t>
  </si>
  <si>
    <t>cqgr2014</t>
  </si>
  <si>
    <t>QIPA_2006</t>
  </si>
  <si>
    <t>QIPA_2007</t>
  </si>
  <si>
    <t>QIPA_2008</t>
  </si>
  <si>
    <t>QIPA_2009</t>
  </si>
  <si>
    <t>QIPA_2010</t>
  </si>
  <si>
    <t>QIPA_2011</t>
  </si>
  <si>
    <t>QIPA_2012</t>
  </si>
  <si>
    <t>QIPA_2013</t>
  </si>
  <si>
    <t>QIPA_2014</t>
  </si>
  <si>
    <t>cagr2007</t>
  </si>
  <si>
    <t>cagr2008</t>
  </si>
  <si>
    <t>cagr2009</t>
  </si>
  <si>
    <t>cagr2010</t>
  </si>
  <si>
    <t>cagr2011</t>
  </si>
  <si>
    <t>cagr2012</t>
  </si>
  <si>
    <t>cagr2013</t>
  </si>
  <si>
    <t>cagr2014</t>
  </si>
  <si>
    <t>AIPA_2007</t>
  </si>
  <si>
    <t>AIPA_2008</t>
  </si>
  <si>
    <t>AIPA_2009</t>
  </si>
  <si>
    <t>AIPA_2010</t>
  </si>
  <si>
    <t>AIPA_2011</t>
  </si>
  <si>
    <t>AIPA_2012</t>
  </si>
  <si>
    <t>AIPA_2013</t>
  </si>
  <si>
    <t>AIPA_2014</t>
  </si>
  <si>
    <t>IPA_2007</t>
  </si>
  <si>
    <t>IPA_2008</t>
  </si>
  <si>
    <t>IPA_2009</t>
  </si>
  <si>
    <t>IPA_2010</t>
  </si>
  <si>
    <t>IPA_2011</t>
  </si>
  <si>
    <t>IPA_2012</t>
  </si>
  <si>
    <t>IPA_2013</t>
  </si>
  <si>
    <t>IPA_2014</t>
  </si>
  <si>
    <t>CPI</t>
  </si>
  <si>
    <t>QN15</t>
  </si>
  <si>
    <t>QW2015</t>
  </si>
  <si>
    <t>Qwavg2015</t>
  </si>
  <si>
    <t>Qwsd2015</t>
  </si>
  <si>
    <t>cqgr2015</t>
  </si>
  <si>
    <t>QIPA_2015</t>
  </si>
  <si>
    <t>AN_15</t>
  </si>
  <si>
    <t>AN2015</t>
  </si>
  <si>
    <t>Awavg2015</t>
  </si>
  <si>
    <t>Awsd2015</t>
  </si>
  <si>
    <t>cagr2015</t>
  </si>
  <si>
    <t>AIPA_2015</t>
  </si>
  <si>
    <t>IPA_2015</t>
  </si>
  <si>
    <t>Maize</t>
  </si>
  <si>
    <t>QN16</t>
  </si>
  <si>
    <t>QW2016</t>
  </si>
  <si>
    <t>Check</t>
  </si>
  <si>
    <t>AN_16</t>
  </si>
  <si>
    <t>AN2016</t>
  </si>
  <si>
    <t>Qwavg2016</t>
  </si>
  <si>
    <t>Awavg2016</t>
  </si>
  <si>
    <t>Awsd2016</t>
  </si>
  <si>
    <t>cqgr2016</t>
  </si>
  <si>
    <t>Qwsd2016</t>
  </si>
  <si>
    <t>QIPA_2016</t>
  </si>
  <si>
    <t>cagr2016</t>
  </si>
  <si>
    <t>AIPA_2016</t>
  </si>
  <si>
    <t>IPA_2016</t>
  </si>
  <si>
    <t>STEP 1</t>
  </si>
  <si>
    <t>STEP 2</t>
  </si>
  <si>
    <t>Normal</t>
  </si>
  <si>
    <t>Price(Real)</t>
  </si>
  <si>
    <t>El Salvador, San Salvador , Maize (White), Wholesale</t>
  </si>
  <si>
    <t>Alert (Low Price)</t>
  </si>
  <si>
    <t>Alert (High Price)</t>
  </si>
  <si>
    <t>Warning (High Price)</t>
  </si>
  <si>
    <t>Warning (Low Price)</t>
  </si>
  <si>
    <t>Notes</t>
  </si>
  <si>
    <t>Consumer Price Index (2010=100)</t>
  </si>
  <si>
    <t>Compound Quaterly Growth Rate</t>
  </si>
  <si>
    <t>Compound Annual Growth Rate</t>
  </si>
  <si>
    <t>QNX</t>
  </si>
  <si>
    <t>QW20XX</t>
  </si>
  <si>
    <t>Quaterly Weight for year 20XX</t>
  </si>
  <si>
    <t>AN_XX</t>
  </si>
  <si>
    <t>Sum of observed years  for quarterly weights</t>
  </si>
  <si>
    <t>Sum of observed years  for annual weights</t>
  </si>
  <si>
    <t>AN20XX</t>
  </si>
  <si>
    <t>Annual Weight for year 20XX</t>
  </si>
  <si>
    <t>Quaterly Weighted Average-Equation 3</t>
  </si>
  <si>
    <t>Quarterly Weighted Standard Deviation-Equation 4</t>
  </si>
  <si>
    <t>Compound Quaterly Growth Rate (CQGR)-Equation 1</t>
  </si>
  <si>
    <t>Quarterly Indicator for Food Prica Anomalies (QIFPA)-Equation 5</t>
  </si>
  <si>
    <t>CQGR-Equation 1</t>
  </si>
  <si>
    <t>CAGR-Equation 1</t>
  </si>
  <si>
    <t>Annual Weighted Average-Equation 3</t>
  </si>
  <si>
    <t>Annual Weighted Standard Deviation-Equation 4</t>
  </si>
  <si>
    <t>Compound Annual Growth Rate (CAGR)-Equation 1</t>
  </si>
  <si>
    <t>Annual Indicator for Food Prica Anomalies (QIFPA)-Equation 5</t>
  </si>
  <si>
    <t>Indicator of Food Price Anomalies (IFPA) by month and year-Equation 6</t>
  </si>
  <si>
    <t>Annual IFPA-Equaiton 7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</si>
</sst>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"/>
    <numFmt numFmtId="166" formatCode="0.00000000"/>
    <numFmt numFmtId="167" formatCode="0.000000"/>
    <numFmt numFmtId="168" formatCode="0.000000000"/>
    <numFmt numFmtId="169" formatCode="0.00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26">
    <xf numFmtId="0" fontId="0" fillId="0" borderId="0" xfId="0"/>
    <xf numFmtId="17" fontId="0" fillId="0" borderId="0" xfId="0" applyNumberFormat="1"/>
    <xf numFmtId="0" fontId="0" fillId="33" borderId="0" xfId="0" applyFill="1"/>
    <xf numFmtId="0" fontId="0" fillId="0" borderId="0" xfId="0" applyFill="1"/>
    <xf numFmtId="0" fontId="0" fillId="0" borderId="0" xfId="0" applyFill="1" applyBorder="1"/>
    <xf numFmtId="2" fontId="0" fillId="0" borderId="0" xfId="0" applyNumberFormat="1" applyFont="1" applyFill="1" applyBorder="1" applyAlignment="1" applyProtection="1"/>
    <xf numFmtId="2" fontId="0" fillId="0" borderId="0" xfId="0" applyNumberFormat="1" applyFont="1" applyFill="1" applyAlignment="1" applyProtection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7" fontId="0" fillId="0" borderId="0" xfId="0" applyNumberFormat="1"/>
    <xf numFmtId="0" fontId="20" fillId="0" borderId="0" xfId="0" applyFont="1"/>
    <xf numFmtId="164" fontId="0" fillId="0" borderId="0" xfId="0" applyNumberFormat="1" applyFill="1"/>
    <xf numFmtId="2" fontId="22" fillId="0" borderId="0" xfId="42" applyNumberFormat="1" applyFont="1" applyFill="1" applyBorder="1" applyAlignment="1">
      <alignment horizontal="right" wrapText="1"/>
    </xf>
    <xf numFmtId="0" fontId="16" fillId="33" borderId="0" xfId="0" applyFont="1" applyFill="1" applyAlignment="1">
      <alignment horizontal="center"/>
    </xf>
    <xf numFmtId="168" fontId="0" fillId="0" borderId="0" xfId="0" applyNumberFormat="1"/>
    <xf numFmtId="166" fontId="0" fillId="0" borderId="0" xfId="0" applyNumberFormat="1" applyFill="1"/>
    <xf numFmtId="169" fontId="0" fillId="0" borderId="0" xfId="0" applyNumberFormat="1"/>
    <xf numFmtId="0" fontId="16" fillId="33" borderId="0" xfId="0" applyFont="1" applyFill="1"/>
    <xf numFmtId="0" fontId="16" fillId="0" borderId="0" xfId="0" applyFont="1" applyFill="1"/>
    <xf numFmtId="164" fontId="16" fillId="0" borderId="0" xfId="0" applyNumberFormat="1" applyFont="1" applyFill="1"/>
    <xf numFmtId="2" fontId="16" fillId="0" borderId="0" xfId="0" applyNumberFormat="1" applyFont="1" applyFill="1"/>
    <xf numFmtId="0" fontId="16" fillId="33" borderId="0" xfId="0" applyFont="1" applyFill="1" applyAlignment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_Foglio2" xfId="42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barChart>
        <c:barDir val="col"/>
        <c:grouping val="clustered"/>
        <c:ser>
          <c:idx val="1"/>
          <c:order val="1"/>
          <c:tx>
            <c:strRef>
              <c:f>'Weighted Means and SD STEPS 3-4'!$AQ$1</c:f>
              <c:strCache>
                <c:ptCount val="1"/>
                <c:pt idx="0">
                  <c:v>Alert (High Price)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3-4'!$AQ$2:$AQ$98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2.7308543733782997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6.3796599506560385</c:v>
                </c:pt>
                <c:pt idx="33">
                  <c:v>1.8008207079844456</c:v>
                </c:pt>
                <c:pt idx="34">
                  <c:v>2.4720384268458022</c:v>
                </c:pt>
                <c:pt idx="35">
                  <c:v>0</c:v>
                </c:pt>
                <c:pt idx="36">
                  <c:v>4.6251525519116283</c:v>
                </c:pt>
                <c:pt idx="37">
                  <c:v>5.4926022244489845</c:v>
                </c:pt>
                <c:pt idx="38">
                  <c:v>4.140032246992706</c:v>
                </c:pt>
                <c:pt idx="39">
                  <c:v>3.3258611415715893</c:v>
                </c:pt>
                <c:pt idx="40">
                  <c:v>3.4945727300088998</c:v>
                </c:pt>
                <c:pt idx="41">
                  <c:v>3.8459687947308985</c:v>
                </c:pt>
                <c:pt idx="42">
                  <c:v>2.78522033533224</c:v>
                </c:pt>
                <c:pt idx="43">
                  <c:v>2.9992653942187033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1.0540084861599297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1.4897929032750064</c:v>
                </c:pt>
                <c:pt idx="79">
                  <c:v>3.3605765952135105</c:v>
                </c:pt>
                <c:pt idx="80">
                  <c:v>0</c:v>
                </c:pt>
                <c:pt idx="81">
                  <c:v>1.1555882924784389</c:v>
                </c:pt>
                <c:pt idx="82">
                  <c:v>1.1736327783486973</c:v>
                </c:pt>
                <c:pt idx="83">
                  <c:v>2.177042001853855</c:v>
                </c:pt>
                <c:pt idx="84">
                  <c:v>2.0214109934930682</c:v>
                </c:pt>
                <c:pt idx="85">
                  <c:v>1.5086388288291253</c:v>
                </c:pt>
                <c:pt idx="86">
                  <c:v>1.2282173655227122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63-440E-A48D-4FE448329414}"/>
            </c:ext>
          </c:extLst>
        </c:ser>
        <c:ser>
          <c:idx val="2"/>
          <c:order val="2"/>
          <c:tx>
            <c:strRef>
              <c:f>'Weighted Means and SD STEPS 3-4'!$AR$1</c:f>
              <c:strCache>
                <c:ptCount val="1"/>
                <c:pt idx="0">
                  <c:v>Warning (High Price)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3-4'!$AR$2:$AR$98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0.99254870326898847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0.58424498831678173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0.860995412564733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0.75697167537460042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63-440E-A48D-4FE448329414}"/>
            </c:ext>
          </c:extLst>
        </c:ser>
        <c:ser>
          <c:idx val="3"/>
          <c:order val="3"/>
          <c:tx>
            <c:strRef>
              <c:f>'Weighted Means and SD STEPS 3-4'!$AS$1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3-4'!$AS$2:$AS$98</c:f>
              <c:numCache>
                <c:formatCode>General</c:formatCode>
                <c:ptCount val="97"/>
                <c:pt idx="0">
                  <c:v>0</c:v>
                </c:pt>
                <c:pt idx="1">
                  <c:v>-5.1516252118047237E-2</c:v>
                </c:pt>
                <c:pt idx="2">
                  <c:v>-0.18796447745824921</c:v>
                </c:pt>
                <c:pt idx="3">
                  <c:v>-0.18642815853365763</c:v>
                </c:pt>
                <c:pt idx="4">
                  <c:v>-0.33601878290424159</c:v>
                </c:pt>
                <c:pt idx="5">
                  <c:v>-0.35069386902234745</c:v>
                </c:pt>
                <c:pt idx="6">
                  <c:v>-0.42380489101114699</c:v>
                </c:pt>
                <c:pt idx="7">
                  <c:v>-0.49553368839291095</c:v>
                </c:pt>
                <c:pt idx="8">
                  <c:v>0</c:v>
                </c:pt>
                <c:pt idx="9">
                  <c:v>4.9984915655278406E-2</c:v>
                </c:pt>
                <c:pt idx="10">
                  <c:v>7.667741068393405E-2</c:v>
                </c:pt>
                <c:pt idx="11">
                  <c:v>0.31289583088105694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-0.36730741567067693</c:v>
                </c:pt>
                <c:pt idx="30">
                  <c:v>-6.7864385707336383E-2</c:v>
                </c:pt>
                <c:pt idx="31">
                  <c:v>0.48970475276690045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0.17398739261755647</c:v>
                </c:pt>
                <c:pt idx="45">
                  <c:v>0.21533287621498198</c:v>
                </c:pt>
                <c:pt idx="46">
                  <c:v>-0.34739874952786676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-0.45230085900505757</c:v>
                </c:pt>
                <c:pt idx="64">
                  <c:v>-0.28900909558761334</c:v>
                </c:pt>
                <c:pt idx="65">
                  <c:v>-0.12962587110986701</c:v>
                </c:pt>
                <c:pt idx="66">
                  <c:v>-0.10706111865947948</c:v>
                </c:pt>
                <c:pt idx="67">
                  <c:v>-0.11236205278799064</c:v>
                </c:pt>
                <c:pt idx="68">
                  <c:v>0.11096526322176492</c:v>
                </c:pt>
                <c:pt idx="69">
                  <c:v>0.13316735727855805</c:v>
                </c:pt>
                <c:pt idx="70">
                  <c:v>0</c:v>
                </c:pt>
                <c:pt idx="71">
                  <c:v>-0.42011122284842917</c:v>
                </c:pt>
                <c:pt idx="72">
                  <c:v>-0.31569479554604551</c:v>
                </c:pt>
                <c:pt idx="73">
                  <c:v>-0.22092101322036214</c:v>
                </c:pt>
                <c:pt idx="74">
                  <c:v>-7.1841618770486955E-3</c:v>
                </c:pt>
                <c:pt idx="75">
                  <c:v>0.2057842089557492</c:v>
                </c:pt>
                <c:pt idx="76">
                  <c:v>0.25504476308226937</c:v>
                </c:pt>
                <c:pt idx="77">
                  <c:v>0.48486433334164247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0.42078804769121586</c:v>
                </c:pt>
                <c:pt idx="88">
                  <c:v>0.2412724631726213</c:v>
                </c:pt>
                <c:pt idx="89">
                  <c:v>-8.398955364559535E-3</c:v>
                </c:pt>
                <c:pt idx="90">
                  <c:v>0.11848452425492746</c:v>
                </c:pt>
                <c:pt idx="91">
                  <c:v>-0.42451055828759399</c:v>
                </c:pt>
                <c:pt idx="92">
                  <c:v>0.18362443460965855</c:v>
                </c:pt>
                <c:pt idx="93">
                  <c:v>-0.13991389524615494</c:v>
                </c:pt>
                <c:pt idx="94">
                  <c:v>0</c:v>
                </c:pt>
                <c:pt idx="95">
                  <c:v>0.18376588928259077</c:v>
                </c:pt>
                <c:pt idx="96">
                  <c:v>-0.23895807252384155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63-440E-A48D-4FE448329414}"/>
            </c:ext>
          </c:extLst>
        </c:ser>
        <c:ser>
          <c:idx val="4"/>
          <c:order val="4"/>
          <c:tx>
            <c:strRef>
              <c:f>'Weighted Means and SD STEPS 3-4'!$AT$1</c:f>
              <c:strCache>
                <c:ptCount val="1"/>
                <c:pt idx="0">
                  <c:v>Alert (Low Price)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'Weighted Means and SD STEPS 3-4'!$AT$2:$AT$98</c:f>
              <c:numCache>
                <c:formatCode>General</c:formatCode>
                <c:ptCount val="97"/>
                <c:pt idx="0">
                  <c:v>-4.8937450807285945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-2.9137118618526276</c:v>
                </c:pt>
                <c:pt idx="13">
                  <c:v>-13.114651087944781</c:v>
                </c:pt>
                <c:pt idx="14">
                  <c:v>-3.8774656488224299</c:v>
                </c:pt>
                <c:pt idx="15">
                  <c:v>-3.1718289173123586</c:v>
                </c:pt>
                <c:pt idx="16">
                  <c:v>-1.0835650427878281</c:v>
                </c:pt>
                <c:pt idx="17">
                  <c:v>-1.5297453755707049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-1.6335383516450976</c:v>
                </c:pt>
                <c:pt idx="24">
                  <c:v>0</c:v>
                </c:pt>
                <c:pt idx="25">
                  <c:v>-1.4128537538569035</c:v>
                </c:pt>
                <c:pt idx="26">
                  <c:v>-2.0318440508987239</c:v>
                </c:pt>
                <c:pt idx="27">
                  <c:v>-1.8673132686735703</c:v>
                </c:pt>
                <c:pt idx="28">
                  <c:v>-1.4043421543014669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-1.123202797715033</c:v>
                </c:pt>
                <c:pt idx="49">
                  <c:v>-1.2920698518386009</c:v>
                </c:pt>
                <c:pt idx="50">
                  <c:v>-1.1981891256397412</c:v>
                </c:pt>
                <c:pt idx="51">
                  <c:v>-1.9449782118720575</c:v>
                </c:pt>
                <c:pt idx="52">
                  <c:v>-1.8225222369735015</c:v>
                </c:pt>
                <c:pt idx="53">
                  <c:v>-1.6560147384360442</c:v>
                </c:pt>
                <c:pt idx="54">
                  <c:v>-1.7339504444602316</c:v>
                </c:pt>
                <c:pt idx="55">
                  <c:v>-1.4464750515804325</c:v>
                </c:pt>
                <c:pt idx="56">
                  <c:v>-1.6572514970076406</c:v>
                </c:pt>
                <c:pt idx="57">
                  <c:v>-1.7262684384065827</c:v>
                </c:pt>
                <c:pt idx="58">
                  <c:v>0</c:v>
                </c:pt>
                <c:pt idx="59">
                  <c:v>-1.2121280172748381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A63-440E-A48D-4FE448329414}"/>
            </c:ext>
          </c:extLst>
        </c:ser>
        <c:ser>
          <c:idx val="5"/>
          <c:order val="5"/>
          <c:tx>
            <c:strRef>
              <c:f>'Weighted Means and SD STEPS 3-4'!$AU$1</c:f>
              <c:strCache>
                <c:ptCount val="1"/>
                <c:pt idx="0">
                  <c:v>Warning (Low Price)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val>
            <c:numRef>
              <c:f>'Weighted Means and SD STEPS 3-4'!$AU$2:$AU$98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-0.59051370129477343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-0.82353358819853906</c:v>
                </c:pt>
                <c:pt idx="19">
                  <c:v>-0.90247663830691049</c:v>
                </c:pt>
                <c:pt idx="20">
                  <c:v>-0.88163549450631684</c:v>
                </c:pt>
                <c:pt idx="21">
                  <c:v>-0.99864213652766942</c:v>
                </c:pt>
                <c:pt idx="22">
                  <c:v>0</c:v>
                </c:pt>
                <c:pt idx="23">
                  <c:v>0</c:v>
                </c:pt>
                <c:pt idx="24">
                  <c:v>-0.63472190546288187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-0.76000982126739625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-0.99362846945399319</c:v>
                </c:pt>
                <c:pt idx="61">
                  <c:v>-0.97146364952930564</c:v>
                </c:pt>
                <c:pt idx="62">
                  <c:v>-0.85106321051038836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A63-440E-A48D-4FE448329414}"/>
            </c:ext>
          </c:extLst>
        </c:ser>
        <c:axId val="145479168"/>
        <c:axId val="145468800"/>
      </c:barChart>
      <c:lineChart>
        <c:grouping val="standard"/>
        <c:ser>
          <c:idx val="0"/>
          <c:order val="0"/>
          <c:tx>
            <c:strRef>
              <c:f>'Weighted Means and SD STEPS 3-4'!$AP$1</c:f>
              <c:strCache>
                <c:ptCount val="1"/>
                <c:pt idx="0">
                  <c:v>Price(Real)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3-4'!$AP$2:$AP$98</c:f>
              <c:numCache>
                <c:formatCode>General</c:formatCode>
                <c:ptCount val="97"/>
                <c:pt idx="0">
                  <c:v>16.303454459991318</c:v>
                </c:pt>
                <c:pt idx="1">
                  <c:v>16.403196518930155</c:v>
                </c:pt>
                <c:pt idx="2">
                  <c:v>17.593848365796113</c:v>
                </c:pt>
                <c:pt idx="3">
                  <c:v>18.487597171014439</c:v>
                </c:pt>
                <c:pt idx="4">
                  <c:v>18.023923527355066</c:v>
                </c:pt>
                <c:pt idx="5">
                  <c:v>19.339572117668496</c:v>
                </c:pt>
                <c:pt idx="6">
                  <c:v>18.756381279696946</c:v>
                </c:pt>
                <c:pt idx="7">
                  <c:v>18.3554770362759</c:v>
                </c:pt>
                <c:pt idx="8">
                  <c:v>18.096785544602817</c:v>
                </c:pt>
                <c:pt idx="9">
                  <c:v>16.76294622355611</c:v>
                </c:pt>
                <c:pt idx="10">
                  <c:v>15.308745001647399</c:v>
                </c:pt>
                <c:pt idx="11">
                  <c:v>16.163947468208047</c:v>
                </c:pt>
                <c:pt idx="12">
                  <c:v>14.584925841123599</c:v>
                </c:pt>
                <c:pt idx="13">
                  <c:v>14.706406338192643</c:v>
                </c:pt>
                <c:pt idx="14">
                  <c:v>16.53153369989041</c:v>
                </c:pt>
                <c:pt idx="15">
                  <c:v>16.790745395199941</c:v>
                </c:pt>
                <c:pt idx="16">
                  <c:v>16.116844269907201</c:v>
                </c:pt>
                <c:pt idx="17">
                  <c:v>15.305836786574194</c:v>
                </c:pt>
                <c:pt idx="18">
                  <c:v>16.093807468688571</c:v>
                </c:pt>
                <c:pt idx="19">
                  <c:v>15.919925608277588</c:v>
                </c:pt>
                <c:pt idx="20">
                  <c:v>14.50854568227896</c:v>
                </c:pt>
                <c:pt idx="21">
                  <c:v>13.772847716055049</c:v>
                </c:pt>
                <c:pt idx="22">
                  <c:v>14.124407215627997</c:v>
                </c:pt>
                <c:pt idx="23">
                  <c:v>13.233117333333288</c:v>
                </c:pt>
                <c:pt idx="24">
                  <c:v>12.722219567237451</c:v>
                </c:pt>
                <c:pt idx="25">
                  <c:v>13.077699777932406</c:v>
                </c:pt>
                <c:pt idx="26">
                  <c:v>13.236623385204965</c:v>
                </c:pt>
                <c:pt idx="27">
                  <c:v>13.461042597557297</c:v>
                </c:pt>
                <c:pt idx="28">
                  <c:v>13.006336318407916</c:v>
                </c:pt>
                <c:pt idx="29">
                  <c:v>13.227445853143113</c:v>
                </c:pt>
                <c:pt idx="30">
                  <c:v>14.63640852974182</c:v>
                </c:pt>
                <c:pt idx="31">
                  <c:v>14.911793142214673</c:v>
                </c:pt>
                <c:pt idx="32">
                  <c:v>17.277151617050716</c:v>
                </c:pt>
                <c:pt idx="33">
                  <c:v>15.206709897163798</c:v>
                </c:pt>
                <c:pt idx="34">
                  <c:v>14.920758998435048</c:v>
                </c:pt>
                <c:pt idx="35">
                  <c:v>15.441652795456672</c:v>
                </c:pt>
                <c:pt idx="36">
                  <c:v>19.555662806914992</c:v>
                </c:pt>
                <c:pt idx="37">
                  <c:v>21.601139601139515</c:v>
                </c:pt>
                <c:pt idx="38">
                  <c:v>22.563821287271931</c:v>
                </c:pt>
                <c:pt idx="39">
                  <c:v>24.224126448630162</c:v>
                </c:pt>
                <c:pt idx="40">
                  <c:v>25.888491404768498</c:v>
                </c:pt>
                <c:pt idx="41">
                  <c:v>30.321404293658837</c:v>
                </c:pt>
                <c:pt idx="42">
                  <c:v>29.227504570667129</c:v>
                </c:pt>
                <c:pt idx="43">
                  <c:v>29.748794997988</c:v>
                </c:pt>
                <c:pt idx="44">
                  <c:v>23.522554934822931</c:v>
                </c:pt>
                <c:pt idx="45">
                  <c:v>20.798926574729713</c:v>
                </c:pt>
                <c:pt idx="46">
                  <c:v>17.174955960798894</c:v>
                </c:pt>
                <c:pt idx="47">
                  <c:v>17.271328175971611</c:v>
                </c:pt>
                <c:pt idx="48">
                  <c:v>17.04453320947507</c:v>
                </c:pt>
                <c:pt idx="49">
                  <c:v>16.455748148148142</c:v>
                </c:pt>
                <c:pt idx="50">
                  <c:v>17.291296844181336</c:v>
                </c:pt>
                <c:pt idx="51">
                  <c:v>16.506740175809245</c:v>
                </c:pt>
                <c:pt idx="52">
                  <c:v>15.527742252526094</c:v>
                </c:pt>
                <c:pt idx="53">
                  <c:v>15.809296522759558</c:v>
                </c:pt>
                <c:pt idx="54">
                  <c:v>15.876566614007245</c:v>
                </c:pt>
                <c:pt idx="55">
                  <c:v>16.580364508927214</c:v>
                </c:pt>
                <c:pt idx="56">
                  <c:v>14.990280857354007</c:v>
                </c:pt>
                <c:pt idx="57">
                  <c:v>13.382058524877662</c:v>
                </c:pt>
                <c:pt idx="58">
                  <c:v>13.325854440130632</c:v>
                </c:pt>
                <c:pt idx="59">
                  <c:v>13.388111840685498</c:v>
                </c:pt>
                <c:pt idx="60">
                  <c:v>12.540079196979386</c:v>
                </c:pt>
                <c:pt idx="61">
                  <c:v>12.375937643282832</c:v>
                </c:pt>
                <c:pt idx="62">
                  <c:v>13.345533230293574</c:v>
                </c:pt>
                <c:pt idx="63">
                  <c:v>13.53173970295512</c:v>
                </c:pt>
                <c:pt idx="64">
                  <c:v>13.049401662219722</c:v>
                </c:pt>
                <c:pt idx="65">
                  <c:v>14.146197777981801</c:v>
                </c:pt>
                <c:pt idx="66">
                  <c:v>14.395437886866398</c:v>
                </c:pt>
                <c:pt idx="67">
                  <c:v>14.327823397936315</c:v>
                </c:pt>
                <c:pt idx="68">
                  <c:v>14.377018155143926</c:v>
                </c:pt>
                <c:pt idx="69">
                  <c:v>12.818831451045188</c:v>
                </c:pt>
                <c:pt idx="70">
                  <c:v>12.789697859327191</c:v>
                </c:pt>
                <c:pt idx="71">
                  <c:v>11.910794641218587</c:v>
                </c:pt>
                <c:pt idx="72">
                  <c:v>11.382346817642174</c:v>
                </c:pt>
                <c:pt idx="73">
                  <c:v>11.894959290314675</c:v>
                </c:pt>
                <c:pt idx="74">
                  <c:v>12.885976300875752</c:v>
                </c:pt>
                <c:pt idx="75">
                  <c:v>13.085708717761239</c:v>
                </c:pt>
                <c:pt idx="76">
                  <c:v>13.15724389354714</c:v>
                </c:pt>
                <c:pt idx="77">
                  <c:v>15.345261310334326</c:v>
                </c:pt>
                <c:pt idx="78">
                  <c:v>17.979043664048607</c:v>
                </c:pt>
                <c:pt idx="79">
                  <c:v>19.756171950047985</c:v>
                </c:pt>
                <c:pt idx="80">
                  <c:v>17.008399603281855</c:v>
                </c:pt>
                <c:pt idx="81">
                  <c:v>16.927849074741665</c:v>
                </c:pt>
                <c:pt idx="82">
                  <c:v>16.711533816425082</c:v>
                </c:pt>
                <c:pt idx="83">
                  <c:v>16.322649619482373</c:v>
                </c:pt>
                <c:pt idx="84">
                  <c:v>18.778860980770936</c:v>
                </c:pt>
                <c:pt idx="85">
                  <c:v>18.717538688282865</c:v>
                </c:pt>
                <c:pt idx="86">
                  <c:v>18.995539260617182</c:v>
                </c:pt>
                <c:pt idx="87">
                  <c:v>18.854819295512073</c:v>
                </c:pt>
                <c:pt idx="88">
                  <c:v>18.4007805116009</c:v>
                </c:pt>
                <c:pt idx="89">
                  <c:v>18.665804955449715</c:v>
                </c:pt>
                <c:pt idx="90">
                  <c:v>20.642821546353979</c:v>
                </c:pt>
                <c:pt idx="91">
                  <c:v>19.211635116093834</c:v>
                </c:pt>
                <c:pt idx="92">
                  <c:v>18.584910371121875</c:v>
                </c:pt>
                <c:pt idx="93">
                  <c:v>17.469541350668038</c:v>
                </c:pt>
                <c:pt idx="94">
                  <c:v>17.160933538109315</c:v>
                </c:pt>
                <c:pt idx="95">
                  <c:v>16.771202121568216</c:v>
                </c:pt>
                <c:pt idx="96">
                  <c:v>17.173169482846838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A63-440E-A48D-4FE448329414}"/>
            </c:ext>
          </c:extLst>
        </c:ser>
        <c:marker val="1"/>
        <c:axId val="145465344"/>
        <c:axId val="145466880"/>
      </c:lineChart>
      <c:dateAx>
        <c:axId val="145465344"/>
        <c:scaling>
          <c:orientation val="minMax"/>
        </c:scaling>
        <c:axPos val="b"/>
        <c:numFmt formatCode="mmm\-yy" sourceLinked="1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466880"/>
        <c:crosses val="autoZero"/>
        <c:auto val="1"/>
        <c:lblOffset val="100"/>
        <c:baseTimeUnit val="months"/>
      </c:dateAx>
      <c:valAx>
        <c:axId val="145466880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Prices US Dollars/Quintal (Real)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465344"/>
        <c:crosses val="autoZero"/>
        <c:crossBetween val="between"/>
      </c:valAx>
      <c:valAx>
        <c:axId val="145468800"/>
        <c:scaling>
          <c:orientation val="minMax"/>
          <c:max val="8"/>
          <c:min val="-8"/>
        </c:scaling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Montly value of the Indicator of Price Anomalies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479168"/>
        <c:crosses val="max"/>
        <c:crossBetween val="between"/>
      </c:valAx>
      <c:dateAx>
        <c:axId val="145479168"/>
        <c:scaling>
          <c:orientation val="minMax"/>
        </c:scaling>
        <c:delete val="1"/>
        <c:axPos val="b"/>
        <c:numFmt formatCode="mmm\-yy" sourceLinked="1"/>
        <c:tickLblPos val="none"/>
        <c:crossAx val="14546880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50</xdr:col>
      <xdr:colOff>0</xdr:colOff>
      <xdr:row>50</xdr:row>
      <xdr:rowOff>10390</xdr:rowOff>
    </xdr:from>
    <xdr:ext cx="65" cy="172227"/>
    <xdr:sp macro="" textlink="">
      <xdr:nvSpPr>
        <xdr:cNvPr id="11" name="TextBox 10"/>
        <xdr:cNvSpPr txBox="1"/>
      </xdr:nvSpPr>
      <xdr:spPr>
        <a:xfrm>
          <a:off x="37052250" y="95353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50</xdr:col>
      <xdr:colOff>0</xdr:colOff>
      <xdr:row>50</xdr:row>
      <xdr:rowOff>8658</xdr:rowOff>
    </xdr:from>
    <xdr:ext cx="65" cy="172227"/>
    <xdr:sp macro="" textlink="">
      <xdr:nvSpPr>
        <xdr:cNvPr id="12" name="TextBox 11"/>
        <xdr:cNvSpPr txBox="1"/>
      </xdr:nvSpPr>
      <xdr:spPr>
        <a:xfrm>
          <a:off x="37052250" y="95336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R141"/>
  <sheetViews>
    <sheetView zoomScaleNormal="100" workbookViewId="0">
      <pane ySplit="2" topLeftCell="A3" activePane="bottomLeft" state="frozen"/>
      <selection pane="bottomLeft" activeCell="M134" sqref="M134"/>
    </sheetView>
  </sheetViews>
  <sheetFormatPr defaultRowHeight="15"/>
  <cols>
    <col min="1" max="1" width="15" bestFit="1" customWidth="1"/>
    <col min="9" max="9" width="16.140625" bestFit="1" customWidth="1"/>
    <col min="13" max="13" width="16" bestFit="1" customWidth="1"/>
    <col min="19" max="19" width="12.5703125" bestFit="1" customWidth="1"/>
    <col min="20" max="21" width="8.7109375" style="7"/>
    <col min="22" max="22" width="9" style="7" bestFit="1" customWidth="1"/>
    <col min="23" max="32" width="8.7109375" style="7"/>
  </cols>
  <sheetData>
    <row r="1" spans="1:148">
      <c r="A1" s="25" t="s">
        <v>152</v>
      </c>
      <c r="B1" s="25"/>
      <c r="C1" s="25"/>
      <c r="D1" s="25"/>
      <c r="E1" s="25"/>
      <c r="F1" s="25"/>
      <c r="G1" s="25"/>
      <c r="H1" s="25"/>
      <c r="O1" s="25" t="s">
        <v>148</v>
      </c>
      <c r="P1" s="25"/>
      <c r="Q1" s="25"/>
      <c r="R1" s="25"/>
      <c r="S1" s="25"/>
    </row>
    <row r="2" spans="1:148">
      <c r="A2" t="s">
        <v>0</v>
      </c>
      <c r="B2" t="s">
        <v>133</v>
      </c>
      <c r="C2" t="s">
        <v>119</v>
      </c>
      <c r="D2" t="s">
        <v>1</v>
      </c>
      <c r="G2" t="s">
        <v>2</v>
      </c>
      <c r="H2" t="s">
        <v>3</v>
      </c>
      <c r="I2" t="s">
        <v>173</v>
      </c>
      <c r="K2" t="s">
        <v>2</v>
      </c>
      <c r="L2" t="s">
        <v>3</v>
      </c>
      <c r="M2" t="s">
        <v>174</v>
      </c>
      <c r="O2" t="s">
        <v>6</v>
      </c>
      <c r="P2" t="s">
        <v>2</v>
      </c>
      <c r="Q2" t="s">
        <v>3</v>
      </c>
      <c r="R2" t="s">
        <v>4</v>
      </c>
      <c r="S2" t="s">
        <v>5</v>
      </c>
    </row>
    <row r="3" spans="1:148">
      <c r="A3" s="1">
        <v>38718</v>
      </c>
      <c r="B3">
        <v>10.38</v>
      </c>
      <c r="C3">
        <f>+CPI!C76</f>
        <v>0.85887584945504403</v>
      </c>
      <c r="D3">
        <f>+B3/C3</f>
        <v>12.085565110005248</v>
      </c>
      <c r="G3">
        <v>1</v>
      </c>
      <c r="H3">
        <v>2006</v>
      </c>
      <c r="K3">
        <v>1</v>
      </c>
      <c r="L3">
        <v>2006</v>
      </c>
      <c r="O3" s="1">
        <v>38718</v>
      </c>
      <c r="P3">
        <v>1</v>
      </c>
      <c r="Q3">
        <v>2006</v>
      </c>
    </row>
    <row r="4" spans="1:148">
      <c r="A4" s="1">
        <v>38749</v>
      </c>
      <c r="B4">
        <v>10.16</v>
      </c>
      <c r="C4">
        <f>+CPI!C77</f>
        <v>0.86314976845180202</v>
      </c>
      <c r="D4">
        <f t="shared" ref="D4:D67" si="0">+B4/C4</f>
        <v>11.770842525073713</v>
      </c>
      <c r="G4">
        <v>2</v>
      </c>
      <c r="H4">
        <v>2006</v>
      </c>
      <c r="K4">
        <v>2</v>
      </c>
      <c r="L4">
        <v>2006</v>
      </c>
      <c r="N4" s="1"/>
      <c r="O4" s="1">
        <v>39083</v>
      </c>
      <c r="P4" s="9">
        <v>1</v>
      </c>
      <c r="Q4" s="9">
        <v>2007</v>
      </c>
      <c r="R4" s="8">
        <f>I15</f>
        <v>-5.9246181693820565E-3</v>
      </c>
      <c r="S4" s="8">
        <f>M15</f>
        <v>4.3380159224108983E-3</v>
      </c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</row>
    <row r="5" spans="1:148">
      <c r="A5" s="1">
        <v>38777</v>
      </c>
      <c r="B5">
        <v>10.74</v>
      </c>
      <c r="C5">
        <f>+CPI!C78</f>
        <v>0.86619607241757701</v>
      </c>
      <c r="D5">
        <f t="shared" si="0"/>
        <v>12.399040288908683</v>
      </c>
      <c r="G5">
        <v>3</v>
      </c>
      <c r="H5">
        <v>2006</v>
      </c>
      <c r="K5">
        <v>3</v>
      </c>
      <c r="L5">
        <v>2006</v>
      </c>
      <c r="O5" s="1">
        <v>39448</v>
      </c>
      <c r="P5" s="9">
        <v>1</v>
      </c>
      <c r="Q5" s="9">
        <v>2008</v>
      </c>
      <c r="R5" s="8">
        <f>I27</f>
        <v>-5.2272363815602518E-2</v>
      </c>
      <c r="S5" s="8">
        <f>M27</f>
        <v>2.0832498665860122E-2</v>
      </c>
      <c r="DQ5" s="2"/>
      <c r="DR5" s="3"/>
      <c r="DS5" s="3"/>
      <c r="DT5" s="3"/>
      <c r="DU5" s="3"/>
      <c r="DV5" s="3"/>
      <c r="DW5" s="3"/>
      <c r="DX5" s="3"/>
      <c r="DY5" s="3"/>
      <c r="DZ5" s="4"/>
      <c r="EA5" s="4"/>
      <c r="EB5" s="4"/>
      <c r="EC5" s="4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6"/>
      <c r="EQ5" s="6"/>
      <c r="ER5" s="6"/>
    </row>
    <row r="6" spans="1:148">
      <c r="A6" s="1">
        <v>38808</v>
      </c>
      <c r="B6">
        <v>11.07</v>
      </c>
      <c r="C6">
        <f>+CPI!C79</f>
        <v>0.87210681145564806</v>
      </c>
      <c r="D6">
        <f t="shared" si="0"/>
        <v>12.693399311401866</v>
      </c>
      <c r="G6">
        <v>4</v>
      </c>
      <c r="H6">
        <v>2006</v>
      </c>
      <c r="I6">
        <f t="shared" ref="I6:I37" si="1">(D6/D3)^(1/3)-1</f>
        <v>1.6491286090380974E-2</v>
      </c>
      <c r="K6">
        <v>4</v>
      </c>
      <c r="L6">
        <v>2006</v>
      </c>
      <c r="O6" s="1">
        <v>39814</v>
      </c>
      <c r="P6" s="9">
        <v>1</v>
      </c>
      <c r="Q6" s="9">
        <v>2009</v>
      </c>
      <c r="R6" s="8">
        <f>I39</f>
        <v>-4.5334361567003434E-2</v>
      </c>
      <c r="S6" s="8">
        <f>M39</f>
        <v>-9.2394264756839872E-3</v>
      </c>
      <c r="AX6">
        <f t="shared" ref="AX6:DI6" si="2">AX5/100</f>
        <v>0</v>
      </c>
      <c r="AY6">
        <f t="shared" si="2"/>
        <v>0</v>
      </c>
      <c r="AZ6">
        <f t="shared" si="2"/>
        <v>0</v>
      </c>
      <c r="BA6">
        <f t="shared" si="2"/>
        <v>0</v>
      </c>
      <c r="BB6">
        <f t="shared" si="2"/>
        <v>0</v>
      </c>
      <c r="BC6">
        <f t="shared" si="2"/>
        <v>0</v>
      </c>
      <c r="BD6">
        <f t="shared" si="2"/>
        <v>0</v>
      </c>
      <c r="BE6">
        <f t="shared" si="2"/>
        <v>0</v>
      </c>
      <c r="BF6">
        <f t="shared" si="2"/>
        <v>0</v>
      </c>
      <c r="BG6">
        <f t="shared" si="2"/>
        <v>0</v>
      </c>
      <c r="BH6">
        <f t="shared" si="2"/>
        <v>0</v>
      </c>
      <c r="BI6">
        <f t="shared" si="2"/>
        <v>0</v>
      </c>
      <c r="BJ6">
        <f t="shared" si="2"/>
        <v>0</v>
      </c>
      <c r="BK6">
        <f t="shared" si="2"/>
        <v>0</v>
      </c>
      <c r="BL6">
        <f t="shared" si="2"/>
        <v>0</v>
      </c>
      <c r="BM6">
        <f t="shared" si="2"/>
        <v>0</v>
      </c>
      <c r="BN6">
        <f t="shared" si="2"/>
        <v>0</v>
      </c>
      <c r="BO6">
        <f t="shared" si="2"/>
        <v>0</v>
      </c>
      <c r="BP6">
        <f t="shared" si="2"/>
        <v>0</v>
      </c>
      <c r="BQ6">
        <f t="shared" si="2"/>
        <v>0</v>
      </c>
      <c r="BR6">
        <f t="shared" si="2"/>
        <v>0</v>
      </c>
      <c r="BS6">
        <f t="shared" si="2"/>
        <v>0</v>
      </c>
      <c r="BT6">
        <f t="shared" si="2"/>
        <v>0</v>
      </c>
      <c r="BU6">
        <f t="shared" si="2"/>
        <v>0</v>
      </c>
      <c r="BV6">
        <f t="shared" si="2"/>
        <v>0</v>
      </c>
      <c r="BW6">
        <f t="shared" si="2"/>
        <v>0</v>
      </c>
      <c r="BX6">
        <f t="shared" si="2"/>
        <v>0</v>
      </c>
      <c r="BY6">
        <f t="shared" si="2"/>
        <v>0</v>
      </c>
      <c r="BZ6">
        <f t="shared" si="2"/>
        <v>0</v>
      </c>
      <c r="CA6">
        <f t="shared" si="2"/>
        <v>0</v>
      </c>
      <c r="CB6">
        <f t="shared" si="2"/>
        <v>0</v>
      </c>
      <c r="CC6">
        <f t="shared" si="2"/>
        <v>0</v>
      </c>
      <c r="CD6">
        <f t="shared" si="2"/>
        <v>0</v>
      </c>
      <c r="CE6">
        <f t="shared" si="2"/>
        <v>0</v>
      </c>
      <c r="CF6">
        <f t="shared" si="2"/>
        <v>0</v>
      </c>
      <c r="CG6">
        <f t="shared" si="2"/>
        <v>0</v>
      </c>
      <c r="CH6">
        <f t="shared" si="2"/>
        <v>0</v>
      </c>
      <c r="CI6">
        <f t="shared" si="2"/>
        <v>0</v>
      </c>
      <c r="CJ6">
        <f t="shared" si="2"/>
        <v>0</v>
      </c>
      <c r="CK6">
        <f t="shared" si="2"/>
        <v>0</v>
      </c>
      <c r="CL6">
        <f t="shared" si="2"/>
        <v>0</v>
      </c>
      <c r="CM6">
        <f t="shared" si="2"/>
        <v>0</v>
      </c>
      <c r="CN6">
        <f t="shared" si="2"/>
        <v>0</v>
      </c>
      <c r="CO6">
        <f t="shared" si="2"/>
        <v>0</v>
      </c>
      <c r="CP6">
        <f t="shared" si="2"/>
        <v>0</v>
      </c>
      <c r="CQ6">
        <f t="shared" si="2"/>
        <v>0</v>
      </c>
      <c r="CR6">
        <f t="shared" si="2"/>
        <v>0</v>
      </c>
      <c r="CS6">
        <f t="shared" si="2"/>
        <v>0</v>
      </c>
      <c r="CT6">
        <f t="shared" si="2"/>
        <v>0</v>
      </c>
      <c r="CU6">
        <f t="shared" si="2"/>
        <v>0</v>
      </c>
      <c r="CV6">
        <f t="shared" si="2"/>
        <v>0</v>
      </c>
      <c r="CW6">
        <f t="shared" si="2"/>
        <v>0</v>
      </c>
      <c r="CX6">
        <f t="shared" si="2"/>
        <v>0</v>
      </c>
      <c r="CY6">
        <f t="shared" si="2"/>
        <v>0</v>
      </c>
      <c r="CZ6">
        <f t="shared" si="2"/>
        <v>0</v>
      </c>
      <c r="DA6">
        <f t="shared" si="2"/>
        <v>0</v>
      </c>
      <c r="DB6">
        <f t="shared" si="2"/>
        <v>0</v>
      </c>
      <c r="DC6">
        <f t="shared" si="2"/>
        <v>0</v>
      </c>
      <c r="DD6">
        <f t="shared" si="2"/>
        <v>0</v>
      </c>
      <c r="DE6">
        <f t="shared" si="2"/>
        <v>0</v>
      </c>
      <c r="DF6">
        <f t="shared" si="2"/>
        <v>0</v>
      </c>
      <c r="DG6">
        <f t="shared" si="2"/>
        <v>0</v>
      </c>
      <c r="DH6">
        <f t="shared" si="2"/>
        <v>0</v>
      </c>
      <c r="DI6">
        <f t="shared" si="2"/>
        <v>0</v>
      </c>
      <c r="DJ6">
        <f t="shared" ref="DJ6:EQ6" si="3">DJ5/100</f>
        <v>0</v>
      </c>
      <c r="DK6">
        <f t="shared" si="3"/>
        <v>0</v>
      </c>
      <c r="DL6">
        <f t="shared" si="3"/>
        <v>0</v>
      </c>
      <c r="DM6">
        <f t="shared" si="3"/>
        <v>0</v>
      </c>
      <c r="DN6">
        <f t="shared" si="3"/>
        <v>0</v>
      </c>
      <c r="DO6">
        <f t="shared" si="3"/>
        <v>0</v>
      </c>
      <c r="DP6">
        <f t="shared" si="3"/>
        <v>0</v>
      </c>
      <c r="DQ6">
        <f t="shared" si="3"/>
        <v>0</v>
      </c>
      <c r="DR6">
        <f t="shared" si="3"/>
        <v>0</v>
      </c>
      <c r="DS6">
        <f t="shared" si="3"/>
        <v>0</v>
      </c>
      <c r="DT6">
        <f t="shared" si="3"/>
        <v>0</v>
      </c>
      <c r="DU6">
        <f t="shared" si="3"/>
        <v>0</v>
      </c>
      <c r="DV6">
        <f t="shared" si="3"/>
        <v>0</v>
      </c>
      <c r="DW6">
        <f t="shared" si="3"/>
        <v>0</v>
      </c>
      <c r="DX6">
        <f t="shared" si="3"/>
        <v>0</v>
      </c>
      <c r="DY6">
        <f t="shared" si="3"/>
        <v>0</v>
      </c>
      <c r="DZ6">
        <f t="shared" si="3"/>
        <v>0</v>
      </c>
      <c r="EA6">
        <f t="shared" si="3"/>
        <v>0</v>
      </c>
      <c r="EB6">
        <f t="shared" si="3"/>
        <v>0</v>
      </c>
      <c r="EC6">
        <f t="shared" si="3"/>
        <v>0</v>
      </c>
      <c r="ED6">
        <f t="shared" si="3"/>
        <v>0</v>
      </c>
      <c r="EE6">
        <f t="shared" si="3"/>
        <v>0</v>
      </c>
      <c r="EF6">
        <f t="shared" si="3"/>
        <v>0</v>
      </c>
      <c r="EG6">
        <f t="shared" si="3"/>
        <v>0</v>
      </c>
      <c r="EH6">
        <f t="shared" si="3"/>
        <v>0</v>
      </c>
      <c r="EI6">
        <f t="shared" si="3"/>
        <v>0</v>
      </c>
      <c r="EJ6">
        <f t="shared" si="3"/>
        <v>0</v>
      </c>
      <c r="EK6">
        <f t="shared" si="3"/>
        <v>0</v>
      </c>
      <c r="EL6">
        <f t="shared" si="3"/>
        <v>0</v>
      </c>
      <c r="EM6">
        <f t="shared" si="3"/>
        <v>0</v>
      </c>
      <c r="EN6">
        <f t="shared" si="3"/>
        <v>0</v>
      </c>
      <c r="EO6">
        <f t="shared" si="3"/>
        <v>0</v>
      </c>
      <c r="EP6">
        <f t="shared" si="3"/>
        <v>0</v>
      </c>
      <c r="EQ6">
        <f t="shared" si="3"/>
        <v>0</v>
      </c>
      <c r="ER6">
        <f>ER5/100</f>
        <v>0</v>
      </c>
    </row>
    <row r="7" spans="1:148">
      <c r="A7" s="1">
        <v>38838</v>
      </c>
      <c r="B7">
        <v>11.03</v>
      </c>
      <c r="C7">
        <f>+CPI!C80</f>
        <v>0.87319802481652298</v>
      </c>
      <c r="D7">
        <f t="shared" si="0"/>
        <v>12.631728069148611</v>
      </c>
      <c r="G7">
        <v>5</v>
      </c>
      <c r="H7">
        <v>2006</v>
      </c>
      <c r="I7">
        <f t="shared" si="1"/>
        <v>2.3807734267148994E-2</v>
      </c>
      <c r="K7">
        <v>5</v>
      </c>
      <c r="L7">
        <v>2006</v>
      </c>
      <c r="O7" s="1">
        <v>40179</v>
      </c>
      <c r="P7" s="9">
        <v>1</v>
      </c>
      <c r="Q7" s="9">
        <v>2010</v>
      </c>
      <c r="R7" s="8">
        <f>I51</f>
        <v>-2.6102957456687004E-2</v>
      </c>
      <c r="S7" s="8">
        <f>M51</f>
        <v>-1.1321958848223845E-2</v>
      </c>
    </row>
    <row r="8" spans="1:148">
      <c r="A8" s="1">
        <v>38869</v>
      </c>
      <c r="B8">
        <v>11.72</v>
      </c>
      <c r="C8">
        <f>+CPI!C81</f>
        <v>0.88033637888557703</v>
      </c>
      <c r="D8">
        <f t="shared" si="0"/>
        <v>13.31309290527834</v>
      </c>
      <c r="G8">
        <v>6</v>
      </c>
      <c r="H8">
        <v>2006</v>
      </c>
      <c r="I8">
        <f t="shared" si="1"/>
        <v>2.3992943487265883E-2</v>
      </c>
      <c r="K8">
        <v>6</v>
      </c>
      <c r="L8">
        <v>2006</v>
      </c>
      <c r="O8" s="1">
        <v>40544</v>
      </c>
      <c r="P8" s="9">
        <v>1</v>
      </c>
      <c r="Q8" s="9">
        <v>2011</v>
      </c>
      <c r="R8" s="8">
        <f>I63</f>
        <v>8.7457834505865195E-2</v>
      </c>
      <c r="S8" s="8">
        <f>M63</f>
        <v>3.6475731538174072E-2</v>
      </c>
    </row>
    <row r="9" spans="1:148">
      <c r="A9" s="1">
        <v>38899</v>
      </c>
      <c r="B9">
        <v>11.63</v>
      </c>
      <c r="C9">
        <f>+CPI!C82</f>
        <v>0.891384914164433</v>
      </c>
      <c r="D9">
        <f t="shared" si="0"/>
        <v>13.047113334761491</v>
      </c>
      <c r="G9">
        <v>7</v>
      </c>
      <c r="H9">
        <v>2006</v>
      </c>
      <c r="I9">
        <f t="shared" si="1"/>
        <v>9.2036924848668544E-3</v>
      </c>
      <c r="K9">
        <v>7</v>
      </c>
      <c r="L9">
        <v>2006</v>
      </c>
      <c r="O9" s="1">
        <v>40909</v>
      </c>
      <c r="P9" s="9">
        <v>1</v>
      </c>
      <c r="Q9" s="9">
        <v>2012</v>
      </c>
      <c r="R9" s="8">
        <f>I75</f>
        <v>-6.4203542714028172E-2</v>
      </c>
      <c r="S9" s="8">
        <f>M75</f>
        <v>-1.138761320759063E-2</v>
      </c>
    </row>
    <row r="10" spans="1:148">
      <c r="A10" s="1">
        <v>38930</v>
      </c>
      <c r="B10">
        <v>11.63</v>
      </c>
      <c r="C10">
        <f>+CPI!C83</f>
        <v>0.88661085571060594</v>
      </c>
      <c r="D10">
        <f t="shared" si="0"/>
        <v>13.117367021948679</v>
      </c>
      <c r="G10">
        <v>8</v>
      </c>
      <c r="H10">
        <v>2006</v>
      </c>
      <c r="I10">
        <f t="shared" si="1"/>
        <v>1.2654508993410474E-2</v>
      </c>
      <c r="K10">
        <v>8</v>
      </c>
      <c r="L10">
        <v>2006</v>
      </c>
      <c r="O10" s="1">
        <v>41275</v>
      </c>
      <c r="P10" s="9">
        <v>1</v>
      </c>
      <c r="Q10" s="9">
        <v>2013</v>
      </c>
      <c r="R10" s="8">
        <f>I87</f>
        <v>-2.1428751706528915E-2</v>
      </c>
      <c r="S10" s="8">
        <f>M87</f>
        <v>-2.5250703060429536E-2</v>
      </c>
    </row>
    <row r="11" spans="1:148">
      <c r="A11" s="1">
        <v>38961</v>
      </c>
      <c r="B11">
        <v>11.86</v>
      </c>
      <c r="C11">
        <f>+CPI!C84</f>
        <v>0.88624711792364808</v>
      </c>
      <c r="D11">
        <f t="shared" si="0"/>
        <v>13.382272009850148</v>
      </c>
      <c r="G11">
        <v>9</v>
      </c>
      <c r="H11">
        <v>2006</v>
      </c>
      <c r="I11">
        <f t="shared" si="1"/>
        <v>1.7291154448602075E-3</v>
      </c>
      <c r="K11">
        <v>9</v>
      </c>
      <c r="L11">
        <v>2006</v>
      </c>
      <c r="O11" s="1">
        <v>41640</v>
      </c>
      <c r="P11" s="9">
        <v>1</v>
      </c>
      <c r="Q11" s="9">
        <v>2014</v>
      </c>
      <c r="R11" s="8">
        <f>I99</f>
        <v>-3.8842721534381841E-2</v>
      </c>
      <c r="S11" s="8">
        <f>M99</f>
        <v>-8.0396924273986592E-3</v>
      </c>
    </row>
    <row r="12" spans="1:148">
      <c r="A12" s="1">
        <v>38991</v>
      </c>
      <c r="B12">
        <v>11.44</v>
      </c>
      <c r="C12">
        <f>+CPI!C85</f>
        <v>0.88279160894754494</v>
      </c>
      <c r="D12">
        <f t="shared" si="0"/>
        <v>12.958890732591636</v>
      </c>
      <c r="G12">
        <v>10</v>
      </c>
      <c r="H12">
        <v>2006</v>
      </c>
      <c r="I12">
        <f t="shared" si="1"/>
        <v>-2.2590489192398922E-3</v>
      </c>
      <c r="K12">
        <v>10</v>
      </c>
      <c r="L12">
        <v>2006</v>
      </c>
      <c r="O12" s="1">
        <v>42005</v>
      </c>
      <c r="P12" s="9">
        <v>1</v>
      </c>
      <c r="Q12" s="9">
        <v>2015</v>
      </c>
      <c r="R12">
        <f>I111</f>
        <v>3.5195771933349107E-2</v>
      </c>
      <c r="S12">
        <f>M111</f>
        <v>4.2604958499111945E-2</v>
      </c>
    </row>
    <row r="13" spans="1:148">
      <c r="A13" s="1">
        <v>39022</v>
      </c>
      <c r="B13">
        <v>11.62</v>
      </c>
      <c r="C13">
        <f>+CPI!C86</f>
        <v>0.88829314297528794</v>
      </c>
      <c r="D13">
        <f t="shared" si="0"/>
        <v>13.081267250447823</v>
      </c>
      <c r="G13">
        <v>11</v>
      </c>
      <c r="H13">
        <v>2006</v>
      </c>
      <c r="I13">
        <f t="shared" si="1"/>
        <v>-9.1819591544917145E-4</v>
      </c>
      <c r="K13">
        <v>11</v>
      </c>
      <c r="L13">
        <v>2006</v>
      </c>
      <c r="O13" s="1">
        <v>42370</v>
      </c>
      <c r="P13" s="9">
        <v>1</v>
      </c>
      <c r="Q13" s="9">
        <v>2016</v>
      </c>
      <c r="R13">
        <f>I123</f>
        <v>-5.6873050858300411E-3</v>
      </c>
      <c r="S13">
        <f>M123</f>
        <v>-7.4209584652700222E-3</v>
      </c>
    </row>
    <row r="14" spans="1:148">
      <c r="A14" s="1">
        <v>39052</v>
      </c>
      <c r="B14">
        <v>11</v>
      </c>
      <c r="C14">
        <f>+CPI!C87</f>
        <v>0.89606803817151903</v>
      </c>
      <c r="D14">
        <f t="shared" si="0"/>
        <v>12.275853541708914</v>
      </c>
      <c r="G14">
        <v>12</v>
      </c>
      <c r="H14">
        <v>2006</v>
      </c>
      <c r="I14">
        <f t="shared" si="1"/>
        <v>-2.8355757157335404E-2</v>
      </c>
      <c r="K14">
        <v>12</v>
      </c>
      <c r="L14">
        <v>2006</v>
      </c>
      <c r="O14" s="1">
        <v>38749</v>
      </c>
      <c r="P14" s="9">
        <v>2</v>
      </c>
      <c r="Q14" s="9">
        <v>2006</v>
      </c>
      <c r="R14" s="8"/>
      <c r="S14" s="8"/>
    </row>
    <row r="15" spans="1:148">
      <c r="A15" s="1">
        <v>39083</v>
      </c>
      <c r="B15">
        <v>11.54</v>
      </c>
      <c r="C15">
        <f>+CPI!C88</f>
        <v>0.90652549954656703</v>
      </c>
      <c r="D15">
        <f t="shared" si="0"/>
        <v>12.729923213160761</v>
      </c>
      <c r="G15">
        <v>1</v>
      </c>
      <c r="H15">
        <v>2007</v>
      </c>
      <c r="I15">
        <f t="shared" si="1"/>
        <v>-5.9246181693820565E-3</v>
      </c>
      <c r="K15">
        <v>1</v>
      </c>
      <c r="L15">
        <v>2007</v>
      </c>
      <c r="M15">
        <f t="shared" ref="M15:M46" si="4">(D15/D3)^(1/12)-1</f>
        <v>4.3380159224108983E-3</v>
      </c>
      <c r="O15" s="1">
        <v>39114</v>
      </c>
      <c r="P15" s="9">
        <v>2</v>
      </c>
      <c r="Q15" s="9">
        <v>2007</v>
      </c>
      <c r="R15" s="8">
        <f>I16</f>
        <v>2.7101027461557292E-2</v>
      </c>
      <c r="S15" s="8">
        <f>M16</f>
        <v>1.5601842235764218E-2</v>
      </c>
    </row>
    <row r="16" spans="1:148">
      <c r="A16" s="1">
        <v>39114</v>
      </c>
      <c r="B16">
        <v>12.82</v>
      </c>
      <c r="C16">
        <f>+CPI!C89</f>
        <v>0.90447947449492805</v>
      </c>
      <c r="D16">
        <f t="shared" si="0"/>
        <v>14.173898204996679</v>
      </c>
      <c r="G16">
        <v>2</v>
      </c>
      <c r="H16">
        <v>2007</v>
      </c>
      <c r="I16">
        <f t="shared" si="1"/>
        <v>2.7101027461557292E-2</v>
      </c>
      <c r="K16">
        <v>2</v>
      </c>
      <c r="L16">
        <v>2007</v>
      </c>
      <c r="M16">
        <f t="shared" si="4"/>
        <v>1.5601842235764218E-2</v>
      </c>
      <c r="O16" s="1">
        <v>39479</v>
      </c>
      <c r="P16" s="9">
        <v>2</v>
      </c>
      <c r="Q16" s="9">
        <v>2008</v>
      </c>
      <c r="R16" s="8">
        <f>I28</f>
        <v>1.5740446035425348E-2</v>
      </c>
      <c r="S16" s="8">
        <f>M28</f>
        <v>1.2247232834238231E-2</v>
      </c>
    </row>
    <row r="17" spans="1:19">
      <c r="A17" s="1">
        <v>39142</v>
      </c>
      <c r="B17">
        <v>14.21</v>
      </c>
      <c r="C17">
        <f>+CPI!C90</f>
        <v>0.91007194296940996</v>
      </c>
      <c r="D17">
        <f t="shared" si="0"/>
        <v>15.614150188649029</v>
      </c>
      <c r="G17">
        <v>3</v>
      </c>
      <c r="H17">
        <v>2007</v>
      </c>
      <c r="I17">
        <f t="shared" si="1"/>
        <v>8.3483290494767992E-2</v>
      </c>
      <c r="K17">
        <v>3</v>
      </c>
      <c r="L17">
        <v>2007</v>
      </c>
      <c r="M17">
        <f t="shared" si="4"/>
        <v>1.9398969204595939E-2</v>
      </c>
      <c r="O17" s="1">
        <v>39845</v>
      </c>
      <c r="P17" s="9">
        <v>2</v>
      </c>
      <c r="Q17" s="9">
        <v>2009</v>
      </c>
      <c r="R17" s="8">
        <f>I40</f>
        <v>-1.3291224358038312E-2</v>
      </c>
      <c r="S17" s="8">
        <f>M40</f>
        <v>-9.0581440246039202E-3</v>
      </c>
    </row>
    <row r="18" spans="1:19">
      <c r="A18" s="1">
        <v>39173</v>
      </c>
      <c r="B18">
        <v>15.03</v>
      </c>
      <c r="C18">
        <f>+CPI!C91</f>
        <v>0.91070848409658689</v>
      </c>
      <c r="D18">
        <f t="shared" si="0"/>
        <v>16.503634546580074</v>
      </c>
      <c r="G18">
        <v>4</v>
      </c>
      <c r="H18">
        <v>2007</v>
      </c>
      <c r="I18">
        <f t="shared" si="1"/>
        <v>9.039689142201901E-2</v>
      </c>
      <c r="K18">
        <v>4</v>
      </c>
      <c r="L18">
        <v>2007</v>
      </c>
      <c r="M18">
        <f t="shared" si="4"/>
        <v>2.2115885335167507E-2</v>
      </c>
      <c r="O18" s="1">
        <v>40210</v>
      </c>
      <c r="P18" s="9">
        <v>2</v>
      </c>
      <c r="Q18" s="9">
        <v>2010</v>
      </c>
      <c r="R18" s="8">
        <f>I52</f>
        <v>-2.5338725228660652E-2</v>
      </c>
      <c r="S18" s="8">
        <f>M52</f>
        <v>-9.7335470080265329E-3</v>
      </c>
    </row>
    <row r="19" spans="1:19">
      <c r="A19" s="1">
        <v>39203</v>
      </c>
      <c r="B19">
        <v>17.100000000000001</v>
      </c>
      <c r="C19">
        <f>+CPI!C92</f>
        <v>0.90702563900363498</v>
      </c>
      <c r="D19">
        <f t="shared" si="0"/>
        <v>18.852829804000141</v>
      </c>
      <c r="G19">
        <v>5</v>
      </c>
      <c r="H19">
        <v>2007</v>
      </c>
      <c r="I19">
        <f t="shared" si="1"/>
        <v>9.9754495260986564E-2</v>
      </c>
      <c r="K19">
        <v>5</v>
      </c>
      <c r="L19">
        <v>2007</v>
      </c>
      <c r="M19">
        <f t="shared" si="4"/>
        <v>3.3933995186455457E-2</v>
      </c>
      <c r="O19" s="1">
        <v>40575</v>
      </c>
      <c r="P19" s="9">
        <v>2</v>
      </c>
      <c r="Q19" s="9">
        <v>2011</v>
      </c>
      <c r="R19" s="8">
        <f>I64</f>
        <v>0.13125865780006363</v>
      </c>
      <c r="S19" s="8">
        <f>M64</f>
        <v>4.2706566097341137E-2</v>
      </c>
    </row>
    <row r="20" spans="1:19">
      <c r="A20" s="1">
        <v>39234</v>
      </c>
      <c r="B20">
        <v>20.13</v>
      </c>
      <c r="C20">
        <f>+CPI!C93</f>
        <v>0.91302731248844493</v>
      </c>
      <c r="D20">
        <f t="shared" si="0"/>
        <v>22.047533216871603</v>
      </c>
      <c r="G20">
        <v>6</v>
      </c>
      <c r="H20">
        <v>2007</v>
      </c>
      <c r="I20">
        <f t="shared" si="1"/>
        <v>0.12188209730413924</v>
      </c>
      <c r="K20">
        <v>6</v>
      </c>
      <c r="L20">
        <v>2007</v>
      </c>
      <c r="M20">
        <f t="shared" si="4"/>
        <v>4.2933826460810565E-2</v>
      </c>
      <c r="O20" s="1">
        <v>40940</v>
      </c>
      <c r="P20" s="9">
        <v>2</v>
      </c>
      <c r="Q20" s="9">
        <v>2012</v>
      </c>
      <c r="R20" s="8">
        <f>I76</f>
        <v>-1.415796201355235E-2</v>
      </c>
      <c r="S20" s="8">
        <f>M76</f>
        <v>-2.2417510138614039E-2</v>
      </c>
    </row>
    <row r="21" spans="1:19">
      <c r="A21" s="1">
        <v>39264</v>
      </c>
      <c r="B21">
        <v>21.3</v>
      </c>
      <c r="C21">
        <f>+CPI!C94</f>
        <v>0.9195745926536929</v>
      </c>
      <c r="D21">
        <f t="shared" si="0"/>
        <v>23.162884414338613</v>
      </c>
      <c r="G21">
        <v>7</v>
      </c>
      <c r="H21">
        <v>2007</v>
      </c>
      <c r="I21">
        <f t="shared" si="1"/>
        <v>0.11962094407024293</v>
      </c>
      <c r="K21">
        <v>7</v>
      </c>
      <c r="L21">
        <v>2007</v>
      </c>
      <c r="M21">
        <f t="shared" si="4"/>
        <v>4.8994433847212582E-2</v>
      </c>
      <c r="O21" s="1">
        <v>41306</v>
      </c>
      <c r="P21" s="9">
        <v>2</v>
      </c>
      <c r="Q21" s="9">
        <v>2013</v>
      </c>
      <c r="R21" s="8">
        <f>I88</f>
        <v>-2.4349325507185715E-2</v>
      </c>
      <c r="S21" s="8">
        <f>M88</f>
        <v>-2.3463740982592518E-2</v>
      </c>
    </row>
    <row r="22" spans="1:19">
      <c r="A22" s="1">
        <v>39295</v>
      </c>
      <c r="B22">
        <v>20.260000000000002</v>
      </c>
      <c r="C22">
        <f>+CPI!C95</f>
        <v>0.91816510872923007</v>
      </c>
      <c r="D22">
        <f t="shared" si="0"/>
        <v>22.065748096266141</v>
      </c>
      <c r="G22">
        <v>8</v>
      </c>
      <c r="H22">
        <v>2007</v>
      </c>
      <c r="I22">
        <f t="shared" si="1"/>
        <v>5.3854618154110412E-2</v>
      </c>
      <c r="K22">
        <v>8</v>
      </c>
      <c r="L22">
        <v>2007</v>
      </c>
      <c r="M22">
        <f t="shared" si="4"/>
        <v>4.4293717965857571E-2</v>
      </c>
      <c r="O22" s="1">
        <v>41671</v>
      </c>
      <c r="P22" s="9">
        <v>2</v>
      </c>
      <c r="Q22" s="9">
        <v>2014</v>
      </c>
      <c r="R22" s="8">
        <f>I100</f>
        <v>-2.3885213399172045E-2</v>
      </c>
      <c r="S22" s="8">
        <f>M100</f>
        <v>-3.2978296256409578E-3</v>
      </c>
    </row>
    <row r="23" spans="1:19">
      <c r="A23" s="1">
        <v>39326</v>
      </c>
      <c r="B23">
        <v>19.62</v>
      </c>
      <c r="C23">
        <f>+CPI!C96</f>
        <v>0.92434865110751896</v>
      </c>
      <c r="D23">
        <f t="shared" si="0"/>
        <v>21.225757160452467</v>
      </c>
      <c r="G23">
        <v>9</v>
      </c>
      <c r="H23">
        <v>2007</v>
      </c>
      <c r="I23">
        <f t="shared" si="1"/>
        <v>-1.2581949933381908E-2</v>
      </c>
      <c r="K23">
        <v>9</v>
      </c>
      <c r="L23">
        <v>2007</v>
      </c>
      <c r="M23">
        <f t="shared" si="4"/>
        <v>3.9188769895444509E-2</v>
      </c>
      <c r="O23" s="1">
        <v>42036</v>
      </c>
      <c r="P23" s="9">
        <v>2</v>
      </c>
      <c r="Q23" s="9">
        <v>2015</v>
      </c>
      <c r="R23">
        <f>I112</f>
        <v>3.8510302092540138E-2</v>
      </c>
      <c r="S23">
        <f>M112</f>
        <v>3.8501548122606755E-2</v>
      </c>
    </row>
    <row r="24" spans="1:19">
      <c r="A24" s="1">
        <v>39356</v>
      </c>
      <c r="B24">
        <v>17.829999999999998</v>
      </c>
      <c r="C24">
        <f>+CPI!C97</f>
        <v>0.930941398496136</v>
      </c>
      <c r="D24">
        <f t="shared" si="0"/>
        <v>19.152655611623878</v>
      </c>
      <c r="G24">
        <v>10</v>
      </c>
      <c r="H24">
        <v>2007</v>
      </c>
      <c r="I24">
        <f t="shared" si="1"/>
        <v>-6.140381094899805E-2</v>
      </c>
      <c r="K24">
        <v>10</v>
      </c>
      <c r="L24">
        <v>2007</v>
      </c>
      <c r="M24">
        <f t="shared" si="4"/>
        <v>3.3090649981902587E-2</v>
      </c>
      <c r="O24" s="1">
        <v>42401</v>
      </c>
      <c r="P24" s="9">
        <v>2</v>
      </c>
      <c r="Q24" s="9">
        <v>2016</v>
      </c>
      <c r="R24">
        <f>I124</f>
        <v>6.2645299098442742E-3</v>
      </c>
      <c r="S24">
        <f>M124</f>
        <v>-5.6581420413862604E-3</v>
      </c>
    </row>
    <row r="25" spans="1:19">
      <c r="A25" s="1">
        <v>39387</v>
      </c>
      <c r="B25">
        <v>14.77</v>
      </c>
      <c r="C25">
        <f>+CPI!C98</f>
        <v>0.94362675381630301</v>
      </c>
      <c r="D25">
        <f t="shared" si="0"/>
        <v>15.652375200539613</v>
      </c>
      <c r="G25">
        <v>11</v>
      </c>
      <c r="H25">
        <v>2007</v>
      </c>
      <c r="I25">
        <f t="shared" si="1"/>
        <v>-0.10815948475788439</v>
      </c>
      <c r="K25">
        <v>11</v>
      </c>
      <c r="L25">
        <v>2007</v>
      </c>
      <c r="M25">
        <f t="shared" si="4"/>
        <v>1.5065816393401654E-2</v>
      </c>
      <c r="O25" s="1">
        <v>38777</v>
      </c>
      <c r="P25" s="9">
        <v>3</v>
      </c>
      <c r="Q25" s="9">
        <v>2006</v>
      </c>
      <c r="R25" s="8"/>
      <c r="S25" s="8"/>
    </row>
    <row r="26" spans="1:19">
      <c r="A26" s="1">
        <v>39417</v>
      </c>
      <c r="B26">
        <v>15.15</v>
      </c>
      <c r="C26">
        <f>+CPI!C99</f>
        <v>0.93958017093639401</v>
      </c>
      <c r="D26">
        <f t="shared" si="0"/>
        <v>16.124222784418038</v>
      </c>
      <c r="G26">
        <v>12</v>
      </c>
      <c r="H26">
        <v>2007</v>
      </c>
      <c r="I26">
        <f t="shared" si="1"/>
        <v>-8.7558143234197416E-2</v>
      </c>
      <c r="K26">
        <v>12</v>
      </c>
      <c r="L26">
        <v>2007</v>
      </c>
      <c r="M26">
        <f t="shared" si="4"/>
        <v>2.2984195815638042E-2</v>
      </c>
      <c r="O26" s="1">
        <v>39142</v>
      </c>
      <c r="P26" s="9">
        <v>3</v>
      </c>
      <c r="Q26" s="9">
        <v>2007</v>
      </c>
      <c r="R26" s="8">
        <f>I17</f>
        <v>8.3483290494767992E-2</v>
      </c>
      <c r="S26" s="8">
        <f>M17</f>
        <v>1.9398969204595939E-2</v>
      </c>
    </row>
    <row r="27" spans="1:19">
      <c r="A27" s="1">
        <v>39448</v>
      </c>
      <c r="B27">
        <v>15.48</v>
      </c>
      <c r="C27">
        <f>+CPI!C100</f>
        <v>0.94949202563100499</v>
      </c>
      <c r="D27">
        <f t="shared" si="0"/>
        <v>16.303454459991318</v>
      </c>
      <c r="G27">
        <v>1</v>
      </c>
      <c r="H27">
        <v>2008</v>
      </c>
      <c r="I27">
        <f t="shared" si="1"/>
        <v>-5.2272363815602518E-2</v>
      </c>
      <c r="K27">
        <v>1</v>
      </c>
      <c r="L27">
        <v>2008</v>
      </c>
      <c r="M27">
        <f t="shared" si="4"/>
        <v>2.0832498665860122E-2</v>
      </c>
      <c r="O27" s="1">
        <v>39508</v>
      </c>
      <c r="P27" s="9">
        <v>3</v>
      </c>
      <c r="Q27" s="9">
        <v>2008</v>
      </c>
      <c r="R27" s="8">
        <f>I29</f>
        <v>2.9502371872604849E-2</v>
      </c>
      <c r="S27" s="8">
        <f>M29</f>
        <v>9.9972881149565929E-3</v>
      </c>
    </row>
    <row r="28" spans="1:19">
      <c r="A28" s="1">
        <v>39479</v>
      </c>
      <c r="B28">
        <v>15.7</v>
      </c>
      <c r="C28">
        <f>+CPI!C101</f>
        <v>0.95713051915712699</v>
      </c>
      <c r="D28">
        <f t="shared" si="0"/>
        <v>16.403196518930155</v>
      </c>
      <c r="G28">
        <v>2</v>
      </c>
      <c r="H28">
        <v>2008</v>
      </c>
      <c r="I28">
        <f t="shared" si="1"/>
        <v>1.5740446035425348E-2</v>
      </c>
      <c r="K28">
        <v>2</v>
      </c>
      <c r="L28">
        <v>2008</v>
      </c>
      <c r="M28">
        <f t="shared" si="4"/>
        <v>1.2247232834238231E-2</v>
      </c>
      <c r="O28" s="1">
        <v>39873</v>
      </c>
      <c r="P28" s="9">
        <v>3</v>
      </c>
      <c r="Q28" s="9">
        <v>2009</v>
      </c>
      <c r="R28" s="8">
        <f>I41</f>
        <v>7.5236256615445196E-3</v>
      </c>
      <c r="S28" s="8">
        <f>M41</f>
        <v>-5.1765242087308261E-3</v>
      </c>
    </row>
    <row r="29" spans="1:19">
      <c r="A29" s="1">
        <v>39508</v>
      </c>
      <c r="B29">
        <v>16.97</v>
      </c>
      <c r="C29">
        <f>+CPI!C102</f>
        <v>0.9645416765664</v>
      </c>
      <c r="D29">
        <f t="shared" si="0"/>
        <v>17.593848365796113</v>
      </c>
      <c r="G29">
        <v>3</v>
      </c>
      <c r="H29">
        <v>2008</v>
      </c>
      <c r="I29">
        <f t="shared" si="1"/>
        <v>2.9502371872604849E-2</v>
      </c>
      <c r="K29">
        <v>3</v>
      </c>
      <c r="L29">
        <v>2008</v>
      </c>
      <c r="M29">
        <f t="shared" si="4"/>
        <v>9.9972881149565929E-3</v>
      </c>
      <c r="O29" s="1">
        <v>40238</v>
      </c>
      <c r="P29" s="9">
        <v>3</v>
      </c>
      <c r="Q29" s="9">
        <v>2010</v>
      </c>
      <c r="R29" s="8">
        <f>I53</f>
        <v>8.8307292269051985E-5</v>
      </c>
      <c r="S29" s="8">
        <f>M53</f>
        <v>-1.8353011046330914E-2</v>
      </c>
    </row>
    <row r="30" spans="1:19">
      <c r="A30" s="1">
        <v>39539</v>
      </c>
      <c r="B30">
        <v>17.98</v>
      </c>
      <c r="C30">
        <f>+CPI!C103</f>
        <v>0.97254390787947997</v>
      </c>
      <c r="D30">
        <f t="shared" si="0"/>
        <v>18.487597171014439</v>
      </c>
      <c r="G30">
        <v>4</v>
      </c>
      <c r="H30">
        <v>2008</v>
      </c>
      <c r="I30">
        <f t="shared" si="1"/>
        <v>4.2798213132652085E-2</v>
      </c>
      <c r="K30">
        <v>4</v>
      </c>
      <c r="L30">
        <v>2008</v>
      </c>
      <c r="M30">
        <f t="shared" si="4"/>
        <v>9.5048411204217143E-3</v>
      </c>
      <c r="O30" s="1">
        <v>40603</v>
      </c>
      <c r="P30" s="9">
        <v>3</v>
      </c>
      <c r="Q30" s="9">
        <v>2011</v>
      </c>
      <c r="R30" s="8">
        <f>I65</f>
        <v>0.13476593325705477</v>
      </c>
      <c r="S30" s="8">
        <f>M65</f>
        <v>4.5449244846449632E-2</v>
      </c>
    </row>
    <row r="31" spans="1:19">
      <c r="A31" s="1">
        <v>39569</v>
      </c>
      <c r="B31">
        <v>17.72</v>
      </c>
      <c r="C31">
        <f>+CPI!C104</f>
        <v>0.98313777092463794</v>
      </c>
      <c r="D31">
        <f t="shared" si="0"/>
        <v>18.023923527355066</v>
      </c>
      <c r="G31">
        <v>5</v>
      </c>
      <c r="H31">
        <v>2008</v>
      </c>
      <c r="I31">
        <f t="shared" si="1"/>
        <v>3.1906344605259651E-2</v>
      </c>
      <c r="K31">
        <v>5</v>
      </c>
      <c r="L31">
        <v>2008</v>
      </c>
      <c r="M31">
        <f t="shared" si="4"/>
        <v>-3.7399110932511137E-3</v>
      </c>
      <c r="O31" s="1">
        <v>40969</v>
      </c>
      <c r="P31" s="9">
        <v>3</v>
      </c>
      <c r="Q31" s="9">
        <v>2012</v>
      </c>
      <c r="R31" s="8">
        <f>I77</f>
        <v>3.8524304927145536E-4</v>
      </c>
      <c r="S31" s="8">
        <f>M77</f>
        <v>-2.1934568461316695E-2</v>
      </c>
    </row>
    <row r="32" spans="1:19">
      <c r="A32" s="1">
        <v>39600</v>
      </c>
      <c r="B32">
        <v>19.25</v>
      </c>
      <c r="C32">
        <f>+CPI!C105</f>
        <v>0.99536845401110696</v>
      </c>
      <c r="D32">
        <f t="shared" si="0"/>
        <v>19.339572117668496</v>
      </c>
      <c r="G32">
        <v>6</v>
      </c>
      <c r="H32">
        <v>2008</v>
      </c>
      <c r="I32">
        <f t="shared" si="1"/>
        <v>3.2037169219576445E-2</v>
      </c>
      <c r="K32">
        <v>6</v>
      </c>
      <c r="L32">
        <v>2008</v>
      </c>
      <c r="M32">
        <f t="shared" si="4"/>
        <v>-1.086119972948052E-2</v>
      </c>
      <c r="O32" s="1">
        <v>41334</v>
      </c>
      <c r="P32" s="9">
        <v>3</v>
      </c>
      <c r="Q32" s="9">
        <v>2013</v>
      </c>
      <c r="R32" s="8">
        <f>I89</f>
        <v>-1.0612357397823402E-3</v>
      </c>
      <c r="S32" s="8">
        <f>M89</f>
        <v>-2.1353838466449004E-2</v>
      </c>
    </row>
    <row r="33" spans="1:22">
      <c r="A33" s="1">
        <v>39630</v>
      </c>
      <c r="B33">
        <v>18.91</v>
      </c>
      <c r="C33">
        <f>+CPI!C106</f>
        <v>1.0081902110013801</v>
      </c>
      <c r="D33">
        <f t="shared" si="0"/>
        <v>18.756381279696946</v>
      </c>
      <c r="G33">
        <v>7</v>
      </c>
      <c r="H33">
        <v>2008</v>
      </c>
      <c r="I33">
        <f t="shared" si="1"/>
        <v>4.8229080852997264E-3</v>
      </c>
      <c r="K33">
        <v>7</v>
      </c>
      <c r="L33">
        <v>2008</v>
      </c>
      <c r="M33">
        <f t="shared" si="4"/>
        <v>-1.7431053557073084E-2</v>
      </c>
      <c r="O33" s="1">
        <v>41699</v>
      </c>
      <c r="P33" s="9">
        <v>3</v>
      </c>
      <c r="Q33" s="9">
        <v>2014</v>
      </c>
      <c r="R33" s="8">
        <f>I101</f>
        <v>2.6578577305259143E-2</v>
      </c>
      <c r="S33" s="8">
        <f>M101</f>
        <v>-2.9159177453150775E-3</v>
      </c>
    </row>
    <row r="34" spans="1:22">
      <c r="A34" s="1">
        <v>39661</v>
      </c>
      <c r="B34">
        <v>18.52</v>
      </c>
      <c r="C34">
        <f>+CPI!C107</f>
        <v>1.0089631537986701</v>
      </c>
      <c r="D34">
        <f t="shared" si="0"/>
        <v>18.3554770362759</v>
      </c>
      <c r="G34">
        <v>8</v>
      </c>
      <c r="H34">
        <v>2008</v>
      </c>
      <c r="I34">
        <f t="shared" si="1"/>
        <v>6.0945116762234353E-3</v>
      </c>
      <c r="K34">
        <v>8</v>
      </c>
      <c r="L34">
        <v>2008</v>
      </c>
      <c r="M34">
        <f t="shared" si="4"/>
        <v>-1.5224463026909496E-2</v>
      </c>
      <c r="O34" s="1">
        <v>42064</v>
      </c>
      <c r="P34" s="9">
        <v>3</v>
      </c>
      <c r="Q34" s="9">
        <v>2015</v>
      </c>
      <c r="R34">
        <f>I113</f>
        <v>5.1849624685506468E-2</v>
      </c>
      <c r="S34">
        <f>M113</f>
        <v>3.2867292353777611E-2</v>
      </c>
    </row>
    <row r="35" spans="1:22">
      <c r="A35" s="1">
        <v>39692</v>
      </c>
      <c r="B35">
        <v>18.18</v>
      </c>
      <c r="C35">
        <f>+CPI!C108</f>
        <v>1.0045983003551699</v>
      </c>
      <c r="D35">
        <f t="shared" si="0"/>
        <v>18.096785544602817</v>
      </c>
      <c r="G35">
        <v>9</v>
      </c>
      <c r="H35">
        <v>2008</v>
      </c>
      <c r="I35">
        <f t="shared" si="1"/>
        <v>-2.1896395117263268E-2</v>
      </c>
      <c r="K35">
        <v>9</v>
      </c>
      <c r="L35">
        <v>2008</v>
      </c>
      <c r="M35">
        <f t="shared" si="4"/>
        <v>-1.3202166386032999E-2</v>
      </c>
      <c r="O35" s="1">
        <v>42430</v>
      </c>
      <c r="P35" s="9">
        <v>3</v>
      </c>
      <c r="Q35" s="9">
        <v>2016</v>
      </c>
      <c r="R35">
        <f>I125</f>
        <v>2.8116064154753095E-2</v>
      </c>
      <c r="S35">
        <f>M125</f>
        <v>-3.4404620935316599E-3</v>
      </c>
    </row>
    <row r="36" spans="1:22">
      <c r="A36" s="1">
        <v>39722</v>
      </c>
      <c r="B36">
        <v>16.760000000000002</v>
      </c>
      <c r="C36">
        <f>+CPI!C109</f>
        <v>0.999824241901345</v>
      </c>
      <c r="D36">
        <f t="shared" si="0"/>
        <v>16.76294622355611</v>
      </c>
      <c r="G36">
        <v>10</v>
      </c>
      <c r="H36">
        <v>2008</v>
      </c>
      <c r="I36">
        <f t="shared" si="1"/>
        <v>-3.6761647036563705E-2</v>
      </c>
      <c r="K36">
        <v>10</v>
      </c>
      <c r="L36">
        <v>2008</v>
      </c>
      <c r="M36">
        <f t="shared" si="4"/>
        <v>-1.1044433398398668E-2</v>
      </c>
      <c r="O36" s="1">
        <v>38808</v>
      </c>
      <c r="P36" s="9">
        <v>4</v>
      </c>
      <c r="Q36" s="9">
        <v>2006</v>
      </c>
      <c r="R36" s="8">
        <f>I6</f>
        <v>1.6491286090380974E-2</v>
      </c>
      <c r="S36" s="8"/>
    </row>
    <row r="37" spans="1:22">
      <c r="A37" s="1">
        <v>39753</v>
      </c>
      <c r="B37">
        <v>15.21</v>
      </c>
      <c r="C37">
        <f>+CPI!C110</f>
        <v>0.99354976507631609</v>
      </c>
      <c r="D37">
        <f t="shared" si="0"/>
        <v>15.308745001647399</v>
      </c>
      <c r="G37">
        <v>11</v>
      </c>
      <c r="H37">
        <v>2008</v>
      </c>
      <c r="I37">
        <f t="shared" si="1"/>
        <v>-5.8707414565662974E-2</v>
      </c>
      <c r="K37">
        <v>11</v>
      </c>
      <c r="L37">
        <v>2008</v>
      </c>
      <c r="M37">
        <f t="shared" si="4"/>
        <v>-1.8481601800083292E-3</v>
      </c>
      <c r="O37" s="1">
        <v>39173</v>
      </c>
      <c r="P37" s="9">
        <v>4</v>
      </c>
      <c r="Q37" s="9">
        <v>2007</v>
      </c>
      <c r="R37" s="8">
        <f>I18</f>
        <v>9.039689142201901E-2</v>
      </c>
      <c r="S37" s="8">
        <f>M18</f>
        <v>2.2115885335167507E-2</v>
      </c>
    </row>
    <row r="38" spans="1:22">
      <c r="A38" s="1">
        <v>39783</v>
      </c>
      <c r="B38">
        <v>16.02</v>
      </c>
      <c r="C38">
        <f>+CPI!C111</f>
        <v>0.99109453501434797</v>
      </c>
      <c r="D38">
        <f t="shared" si="0"/>
        <v>16.163947468208047</v>
      </c>
      <c r="G38">
        <v>12</v>
      </c>
      <c r="H38">
        <v>2008</v>
      </c>
      <c r="I38">
        <f t="shared" ref="I38:I69" si="5">(D38/D35)^(1/3)-1</f>
        <v>-3.6950381572475322E-2</v>
      </c>
      <c r="K38">
        <v>12</v>
      </c>
      <c r="L38">
        <v>2008</v>
      </c>
      <c r="M38">
        <f t="shared" si="4"/>
        <v>2.050739565737647E-4</v>
      </c>
      <c r="O38" s="1">
        <v>39539</v>
      </c>
      <c r="P38" s="9">
        <v>4</v>
      </c>
      <c r="Q38" s="9">
        <v>2008</v>
      </c>
      <c r="R38" s="8">
        <f>I30</f>
        <v>4.2798213132652085E-2</v>
      </c>
      <c r="S38" s="8">
        <f>M30</f>
        <v>9.5048411204217143E-3</v>
      </c>
    </row>
    <row r="39" spans="1:22">
      <c r="A39" s="1">
        <v>39814</v>
      </c>
      <c r="B39">
        <v>14.4</v>
      </c>
      <c r="C39">
        <f>+CPI!C112</f>
        <v>0.98732075547465703</v>
      </c>
      <c r="D39">
        <f t="shared" si="0"/>
        <v>14.584925841123599</v>
      </c>
      <c r="G39">
        <v>1</v>
      </c>
      <c r="H39">
        <v>2009</v>
      </c>
      <c r="I39">
        <f t="shared" si="5"/>
        <v>-4.5334361567003434E-2</v>
      </c>
      <c r="K39">
        <v>1</v>
      </c>
      <c r="L39">
        <v>2009</v>
      </c>
      <c r="M39">
        <f t="shared" si="4"/>
        <v>-9.2394264756839872E-3</v>
      </c>
      <c r="O39" s="1">
        <v>39904</v>
      </c>
      <c r="P39" s="9">
        <v>4</v>
      </c>
      <c r="Q39" s="9">
        <v>2009</v>
      </c>
      <c r="R39" s="8">
        <f>I42</f>
        <v>4.8065882455395004E-2</v>
      </c>
      <c r="S39" s="8">
        <f>M42</f>
        <v>-7.990589050004715E-3</v>
      </c>
    </row>
    <row r="40" spans="1:22">
      <c r="A40" s="1">
        <v>39845</v>
      </c>
      <c r="B40">
        <v>14.54</v>
      </c>
      <c r="C40">
        <f>+CPI!C113</f>
        <v>0.98868477217575002</v>
      </c>
      <c r="D40">
        <f t="shared" si="0"/>
        <v>14.706406338192643</v>
      </c>
      <c r="G40">
        <v>2</v>
      </c>
      <c r="H40">
        <v>2009</v>
      </c>
      <c r="I40">
        <f t="shared" si="5"/>
        <v>-1.3291224358038312E-2</v>
      </c>
      <c r="K40">
        <v>2</v>
      </c>
      <c r="L40">
        <v>2009</v>
      </c>
      <c r="M40">
        <f t="shared" si="4"/>
        <v>-9.0581440246039202E-3</v>
      </c>
      <c r="O40" s="1">
        <v>40269</v>
      </c>
      <c r="P40" s="9">
        <v>4</v>
      </c>
      <c r="Q40" s="9">
        <v>2010</v>
      </c>
      <c r="R40" s="8">
        <f>I54</f>
        <v>1.899472855083828E-2</v>
      </c>
      <c r="S40" s="8">
        <f>M54</f>
        <v>-1.8250413875434246E-2</v>
      </c>
    </row>
    <row r="41" spans="1:22">
      <c r="A41" s="1">
        <v>39873</v>
      </c>
      <c r="B41">
        <v>16.47</v>
      </c>
      <c r="C41">
        <f>+CPI!C114</f>
        <v>0.99627779847850306</v>
      </c>
      <c r="D41">
        <f t="shared" si="0"/>
        <v>16.53153369989041</v>
      </c>
      <c r="G41">
        <v>3</v>
      </c>
      <c r="H41">
        <v>2009</v>
      </c>
      <c r="I41">
        <f t="shared" si="5"/>
        <v>7.5236256615445196E-3</v>
      </c>
      <c r="K41">
        <v>3</v>
      </c>
      <c r="L41">
        <v>2009</v>
      </c>
      <c r="M41">
        <f t="shared" si="4"/>
        <v>-5.1765242087308261E-3</v>
      </c>
      <c r="O41" s="1">
        <v>40634</v>
      </c>
      <c r="P41" s="9">
        <v>4</v>
      </c>
      <c r="Q41" s="9">
        <v>2011</v>
      </c>
      <c r="R41" s="8">
        <f>I66</f>
        <v>7.396928648186174E-2</v>
      </c>
      <c r="S41" s="8">
        <f>M66</f>
        <v>5.0180908446099792E-2</v>
      </c>
    </row>
    <row r="42" spans="1:22">
      <c r="A42" s="1">
        <v>39904</v>
      </c>
      <c r="B42">
        <v>16.7</v>
      </c>
      <c r="C42">
        <f>+CPI!C115</f>
        <v>0.99459551121382106</v>
      </c>
      <c r="D42">
        <f t="shared" si="0"/>
        <v>16.790745395199941</v>
      </c>
      <c r="G42">
        <v>4</v>
      </c>
      <c r="H42">
        <v>2009</v>
      </c>
      <c r="I42">
        <f t="shared" si="5"/>
        <v>4.8065882455395004E-2</v>
      </c>
      <c r="K42">
        <v>4</v>
      </c>
      <c r="L42">
        <v>2009</v>
      </c>
      <c r="M42">
        <f t="shared" si="4"/>
        <v>-7.990589050004715E-3</v>
      </c>
      <c r="O42" s="1">
        <v>41000</v>
      </c>
      <c r="P42" s="9">
        <v>4</v>
      </c>
      <c r="Q42" s="9">
        <v>2012</v>
      </c>
      <c r="R42" s="8">
        <f>I78</f>
        <v>-1.0630006686975335E-2</v>
      </c>
      <c r="S42" s="8">
        <f>M78</f>
        <v>-3.1459544151007601E-2</v>
      </c>
    </row>
    <row r="43" spans="1:22">
      <c r="A43" s="1">
        <v>39934</v>
      </c>
      <c r="B43">
        <v>16.04</v>
      </c>
      <c r="C43">
        <f>+CPI!C116</f>
        <v>0.9952320523409981</v>
      </c>
      <c r="D43">
        <f t="shared" si="0"/>
        <v>16.116844269907201</v>
      </c>
      <c r="G43">
        <v>5</v>
      </c>
      <c r="H43">
        <v>2009</v>
      </c>
      <c r="I43">
        <f t="shared" si="5"/>
        <v>3.0997983966394527E-2</v>
      </c>
      <c r="K43">
        <v>5</v>
      </c>
      <c r="L43">
        <v>2009</v>
      </c>
      <c r="M43">
        <f t="shared" si="4"/>
        <v>-9.2762912118682372E-3</v>
      </c>
      <c r="O43" s="1">
        <v>41365</v>
      </c>
      <c r="P43" s="9">
        <v>4</v>
      </c>
      <c r="Q43" s="9">
        <v>2013</v>
      </c>
      <c r="R43" s="8">
        <f>I90</f>
        <v>2.5693929699508233E-2</v>
      </c>
      <c r="S43" s="8">
        <f>M90</f>
        <v>-1.6424520371118079E-2</v>
      </c>
    </row>
    <row r="44" spans="1:22">
      <c r="A44" s="1">
        <v>39965</v>
      </c>
      <c r="B44">
        <v>15.26</v>
      </c>
      <c r="C44">
        <f>+CPI!C117</f>
        <v>0.99700527405241901</v>
      </c>
      <c r="D44">
        <f t="shared" si="0"/>
        <v>15.305836786574194</v>
      </c>
      <c r="G44">
        <v>6</v>
      </c>
      <c r="H44">
        <v>2009</v>
      </c>
      <c r="I44">
        <f t="shared" si="5"/>
        <v>-2.535159355242067E-2</v>
      </c>
      <c r="K44">
        <v>6</v>
      </c>
      <c r="L44">
        <v>2009</v>
      </c>
      <c r="M44">
        <f t="shared" si="4"/>
        <v>-1.9304494994637045E-2</v>
      </c>
      <c r="O44" s="1">
        <v>41730</v>
      </c>
      <c r="P44" s="9">
        <v>4</v>
      </c>
      <c r="Q44" s="9">
        <v>2014</v>
      </c>
      <c r="R44" s="8">
        <f>I102</f>
        <v>4.7583086894081195E-2</v>
      </c>
      <c r="S44" s="8">
        <f>M102</f>
        <v>-2.7892127263023925E-3</v>
      </c>
    </row>
    <row r="45" spans="1:22">
      <c r="A45" s="1">
        <v>39995</v>
      </c>
      <c r="B45">
        <v>16.02</v>
      </c>
      <c r="C45">
        <f>+CPI!C118</f>
        <v>0.99541392123447692</v>
      </c>
      <c r="D45">
        <f t="shared" si="0"/>
        <v>16.093807468688571</v>
      </c>
      <c r="G45">
        <v>7</v>
      </c>
      <c r="H45">
        <v>2009</v>
      </c>
      <c r="I45">
        <f t="shared" si="5"/>
        <v>-1.4031723522171746E-2</v>
      </c>
      <c r="K45">
        <v>7</v>
      </c>
      <c r="L45">
        <v>2009</v>
      </c>
      <c r="M45">
        <f t="shared" si="4"/>
        <v>-1.2677246449031121E-2</v>
      </c>
      <c r="O45" s="1">
        <v>42095</v>
      </c>
      <c r="P45" s="9">
        <v>4</v>
      </c>
      <c r="Q45" s="9">
        <v>2015</v>
      </c>
      <c r="R45">
        <f>I114</f>
        <v>1.3464808497467562E-3</v>
      </c>
      <c r="S45">
        <f>M114</f>
        <v>3.0905271709030346E-2</v>
      </c>
    </row>
    <row r="46" spans="1:22">
      <c r="A46" s="1">
        <v>40026</v>
      </c>
      <c r="B46">
        <v>15.81</v>
      </c>
      <c r="C46">
        <f>+CPI!C119</f>
        <v>0.99309509284261788</v>
      </c>
      <c r="D46">
        <f t="shared" si="0"/>
        <v>15.919925608277588</v>
      </c>
      <c r="G46">
        <v>8</v>
      </c>
      <c r="H46">
        <v>2009</v>
      </c>
      <c r="I46">
        <f t="shared" si="5"/>
        <v>-4.0894305660580388E-3</v>
      </c>
      <c r="K46">
        <v>8</v>
      </c>
      <c r="L46">
        <v>2009</v>
      </c>
      <c r="M46">
        <f t="shared" si="4"/>
        <v>-1.1792953092057523E-2</v>
      </c>
      <c r="O46" s="1">
        <v>42461</v>
      </c>
      <c r="P46" s="9">
        <v>4</v>
      </c>
      <c r="Q46" s="9">
        <v>2016</v>
      </c>
      <c r="R46">
        <f>I126</f>
        <v>1.9503129358762417E-2</v>
      </c>
      <c r="S46">
        <f>M126</f>
        <v>-2.9518142265267944E-3</v>
      </c>
      <c r="V46"/>
    </row>
    <row r="47" spans="1:22">
      <c r="A47" s="1">
        <v>40057</v>
      </c>
      <c r="B47">
        <v>14.38</v>
      </c>
      <c r="C47">
        <f>+CPI!C120</f>
        <v>0.99114000223771792</v>
      </c>
      <c r="D47">
        <f t="shared" si="0"/>
        <v>14.50854568227896</v>
      </c>
      <c r="G47">
        <v>9</v>
      </c>
      <c r="H47">
        <v>2009</v>
      </c>
      <c r="I47">
        <f t="shared" si="5"/>
        <v>-1.7674085550228313E-2</v>
      </c>
      <c r="K47">
        <v>9</v>
      </c>
      <c r="L47">
        <v>2009</v>
      </c>
      <c r="M47">
        <f t="shared" ref="M47:M78" si="6">(D47/D35)^(1/12)-1</f>
        <v>-1.8247829411247252E-2</v>
      </c>
      <c r="O47" s="1">
        <v>38838</v>
      </c>
      <c r="P47" s="9">
        <v>5</v>
      </c>
      <c r="Q47" s="9">
        <v>2006</v>
      </c>
      <c r="R47" s="8">
        <f>I7</f>
        <v>2.3807734267148994E-2</v>
      </c>
      <c r="S47" s="8"/>
    </row>
    <row r="48" spans="1:22">
      <c r="A48" s="1">
        <v>40087</v>
      </c>
      <c r="B48">
        <v>13.55</v>
      </c>
      <c r="C48">
        <f>+CPI!C121</f>
        <v>0.98381977927518405</v>
      </c>
      <c r="D48">
        <f t="shared" si="0"/>
        <v>13.772847716055049</v>
      </c>
      <c r="G48">
        <v>10</v>
      </c>
      <c r="H48">
        <v>2009</v>
      </c>
      <c r="I48">
        <f t="shared" si="5"/>
        <v>-5.0587421303390889E-2</v>
      </c>
      <c r="K48">
        <v>10</v>
      </c>
      <c r="L48">
        <v>2009</v>
      </c>
      <c r="M48">
        <f t="shared" si="6"/>
        <v>-1.6239344324692095E-2</v>
      </c>
      <c r="O48" s="1">
        <v>39203</v>
      </c>
      <c r="P48" s="9">
        <v>5</v>
      </c>
      <c r="Q48" s="9">
        <v>2007</v>
      </c>
      <c r="R48" s="8">
        <f>I19</f>
        <v>9.9754495260986564E-2</v>
      </c>
      <c r="S48" s="8">
        <f>M19</f>
        <v>3.3933995186455457E-2</v>
      </c>
    </row>
    <row r="49" spans="1:19">
      <c r="A49" s="1">
        <v>40118</v>
      </c>
      <c r="B49">
        <v>13.84</v>
      </c>
      <c r="C49">
        <f>+CPI!C122</f>
        <v>0.97986413084201407</v>
      </c>
      <c r="D49">
        <f t="shared" si="0"/>
        <v>14.124407215627997</v>
      </c>
      <c r="G49">
        <v>11</v>
      </c>
      <c r="H49">
        <v>2009</v>
      </c>
      <c r="I49">
        <f t="shared" si="5"/>
        <v>-3.9103970861402382E-2</v>
      </c>
      <c r="K49">
        <v>11</v>
      </c>
      <c r="L49">
        <v>2009</v>
      </c>
      <c r="M49">
        <f t="shared" si="6"/>
        <v>-6.6875319873487271E-3</v>
      </c>
      <c r="O49" s="1">
        <v>39569</v>
      </c>
      <c r="P49" s="9">
        <v>5</v>
      </c>
      <c r="Q49" s="9">
        <v>2008</v>
      </c>
      <c r="R49" s="8">
        <f>I31</f>
        <v>3.1906344605259651E-2</v>
      </c>
      <c r="S49" s="8">
        <f>M31</f>
        <v>-3.7399110932511137E-3</v>
      </c>
    </row>
    <row r="50" spans="1:19">
      <c r="A50" s="1">
        <v>40148</v>
      </c>
      <c r="B50">
        <v>13.09</v>
      </c>
      <c r="C50">
        <f>+CPI!C123</f>
        <v>0.98918491163281796</v>
      </c>
      <c r="D50">
        <f t="shared" si="0"/>
        <v>13.233117333333288</v>
      </c>
      <c r="G50">
        <v>12</v>
      </c>
      <c r="H50">
        <v>2009</v>
      </c>
      <c r="I50">
        <f t="shared" si="5"/>
        <v>-3.0206146513399812E-2</v>
      </c>
      <c r="K50">
        <v>12</v>
      </c>
      <c r="L50">
        <v>2009</v>
      </c>
      <c r="M50">
        <f t="shared" si="6"/>
        <v>-1.6533522597896533E-2</v>
      </c>
      <c r="O50" s="1">
        <v>39934</v>
      </c>
      <c r="P50" s="9">
        <v>5</v>
      </c>
      <c r="Q50" s="9">
        <v>2009</v>
      </c>
      <c r="R50" s="8">
        <f>I43</f>
        <v>3.0997983966394527E-2</v>
      </c>
      <c r="S50" s="8">
        <f>M43</f>
        <v>-9.2762912118682372E-3</v>
      </c>
    </row>
    <row r="51" spans="1:19">
      <c r="A51" s="1">
        <v>40179</v>
      </c>
      <c r="B51">
        <v>12.64</v>
      </c>
      <c r="C51">
        <f>+CPI!C124</f>
        <v>0.99353732524400196</v>
      </c>
      <c r="D51">
        <f t="shared" si="0"/>
        <v>12.722219567237451</v>
      </c>
      <c r="G51">
        <v>1</v>
      </c>
      <c r="H51">
        <v>2010</v>
      </c>
      <c r="I51">
        <f t="shared" si="5"/>
        <v>-2.6102957456687004E-2</v>
      </c>
      <c r="K51">
        <v>1</v>
      </c>
      <c r="L51">
        <v>2010</v>
      </c>
      <c r="M51">
        <f t="shared" si="6"/>
        <v>-1.1321958848223845E-2</v>
      </c>
      <c r="O51" s="1">
        <v>40299</v>
      </c>
      <c r="P51" s="9">
        <v>5</v>
      </c>
      <c r="Q51" s="9">
        <v>2010</v>
      </c>
      <c r="R51" s="8">
        <f>I55</f>
        <v>-1.8222792238355989E-3</v>
      </c>
      <c r="S51" s="8">
        <f>M55</f>
        <v>-1.7710321101179094E-2</v>
      </c>
    </row>
    <row r="52" spans="1:19">
      <c r="A52" s="1">
        <v>40210</v>
      </c>
      <c r="B52">
        <v>13.01</v>
      </c>
      <c r="C52">
        <f>+CPI!C125</f>
        <v>0.99482326562912504</v>
      </c>
      <c r="D52">
        <f t="shared" si="0"/>
        <v>13.077699777932406</v>
      </c>
      <c r="G52">
        <v>2</v>
      </c>
      <c r="H52">
        <v>2010</v>
      </c>
      <c r="I52">
        <f t="shared" si="5"/>
        <v>-2.5338725228660652E-2</v>
      </c>
      <c r="K52">
        <v>2</v>
      </c>
      <c r="L52">
        <v>2010</v>
      </c>
      <c r="M52">
        <f t="shared" si="6"/>
        <v>-9.7335470080265329E-3</v>
      </c>
      <c r="O52" s="1">
        <v>40664</v>
      </c>
      <c r="P52" s="9">
        <v>5</v>
      </c>
      <c r="Q52" s="9">
        <v>2011</v>
      </c>
      <c r="R52" s="8">
        <f>I67</f>
        <v>6.2209121865372419E-2</v>
      </c>
      <c r="S52" s="8">
        <f>M67</f>
        <v>5.9040690685058461E-2</v>
      </c>
    </row>
    <row r="53" spans="1:19">
      <c r="A53" s="1">
        <v>40238</v>
      </c>
      <c r="B53">
        <v>13.21</v>
      </c>
      <c r="C53">
        <f>+CPI!C126</f>
        <v>0.99798865734635001</v>
      </c>
      <c r="D53">
        <f t="shared" si="0"/>
        <v>13.236623385204965</v>
      </c>
      <c r="G53">
        <v>3</v>
      </c>
      <c r="H53">
        <v>2010</v>
      </c>
      <c r="I53">
        <f t="shared" si="5"/>
        <v>8.8307292269051985E-5</v>
      </c>
      <c r="K53">
        <v>3</v>
      </c>
      <c r="L53">
        <v>2010</v>
      </c>
      <c r="M53">
        <f t="shared" si="6"/>
        <v>-1.8353011046330914E-2</v>
      </c>
      <c r="O53" s="1">
        <v>41030</v>
      </c>
      <c r="P53" s="9">
        <v>5</v>
      </c>
      <c r="Q53" s="9">
        <v>2012</v>
      </c>
      <c r="R53" s="8">
        <f>I79</f>
        <v>-1.9162879099703045E-2</v>
      </c>
      <c r="S53" s="8">
        <f>M79</f>
        <v>-4.1702995019338607E-2</v>
      </c>
    </row>
    <row r="54" spans="1:19">
      <c r="A54" s="1">
        <v>40269</v>
      </c>
      <c r="B54">
        <v>13.41</v>
      </c>
      <c r="C54">
        <f>+CPI!C127</f>
        <v>0.99620812450541096</v>
      </c>
      <c r="D54">
        <f t="shared" si="0"/>
        <v>13.461042597557297</v>
      </c>
      <c r="G54">
        <v>4</v>
      </c>
      <c r="H54">
        <v>2010</v>
      </c>
      <c r="I54">
        <f t="shared" si="5"/>
        <v>1.899472855083828E-2</v>
      </c>
      <c r="K54">
        <v>4</v>
      </c>
      <c r="L54">
        <v>2010</v>
      </c>
      <c r="M54">
        <f t="shared" si="6"/>
        <v>-1.8250413875434246E-2</v>
      </c>
      <c r="O54" s="1">
        <v>41395</v>
      </c>
      <c r="P54" s="9">
        <v>5</v>
      </c>
      <c r="Q54" s="9">
        <v>2013</v>
      </c>
      <c r="R54" s="8">
        <f>I91</f>
        <v>1.7819644687285363E-2</v>
      </c>
      <c r="S54" s="8">
        <f>M91</f>
        <v>-1.4386015003161834E-2</v>
      </c>
    </row>
    <row r="55" spans="1:19">
      <c r="A55" s="1">
        <v>40299</v>
      </c>
      <c r="B55">
        <v>12.93</v>
      </c>
      <c r="C55">
        <f>+CPI!C128</f>
        <v>0.99413083619098197</v>
      </c>
      <c r="D55">
        <f t="shared" si="0"/>
        <v>13.006336318407916</v>
      </c>
      <c r="G55">
        <v>5</v>
      </c>
      <c r="H55">
        <v>2010</v>
      </c>
      <c r="I55">
        <f t="shared" si="5"/>
        <v>-1.8222792238355989E-3</v>
      </c>
      <c r="K55">
        <v>5</v>
      </c>
      <c r="L55">
        <v>2010</v>
      </c>
      <c r="M55">
        <f t="shared" si="6"/>
        <v>-1.7710321101179094E-2</v>
      </c>
      <c r="O55" s="1">
        <v>41760</v>
      </c>
      <c r="P55" s="9">
        <v>5</v>
      </c>
      <c r="Q55" s="9">
        <v>2014</v>
      </c>
      <c r="R55" s="8">
        <f>I103</f>
        <v>3.4190764329437906E-2</v>
      </c>
      <c r="S55" s="8">
        <f>M103</f>
        <v>6.8608444023232629E-4</v>
      </c>
    </row>
    <row r="56" spans="1:19">
      <c r="A56" s="1">
        <v>40330</v>
      </c>
      <c r="B56">
        <v>13.21</v>
      </c>
      <c r="C56">
        <f>+CPI!C129</f>
        <v>0.99868108678449308</v>
      </c>
      <c r="D56">
        <f t="shared" si="0"/>
        <v>13.227445853143113</v>
      </c>
      <c r="G56">
        <v>6</v>
      </c>
      <c r="H56">
        <v>2010</v>
      </c>
      <c r="I56">
        <f t="shared" si="5"/>
        <v>-2.3116806741563245E-4</v>
      </c>
      <c r="K56">
        <v>6</v>
      </c>
      <c r="L56">
        <v>2010</v>
      </c>
      <c r="M56">
        <f t="shared" si="6"/>
        <v>-1.2088040698894242E-2</v>
      </c>
      <c r="O56" s="1">
        <v>42125</v>
      </c>
      <c r="P56" s="9">
        <v>5</v>
      </c>
      <c r="Q56" s="9">
        <v>2015</v>
      </c>
      <c r="R56">
        <f>I115</f>
        <v>-5.6731463340187194E-3</v>
      </c>
      <c r="S56">
        <f>M115</f>
        <v>2.8346032057654069E-2</v>
      </c>
    </row>
    <row r="57" spans="1:19">
      <c r="A57" s="1">
        <v>40360</v>
      </c>
      <c r="B57">
        <v>14.62</v>
      </c>
      <c r="C57">
        <f>+CPI!C130</f>
        <v>0.99887892376681908</v>
      </c>
      <c r="D57">
        <f t="shared" si="0"/>
        <v>14.63640852974182</v>
      </c>
      <c r="G57">
        <v>7</v>
      </c>
      <c r="H57">
        <v>2010</v>
      </c>
      <c r="I57">
        <f t="shared" si="5"/>
        <v>2.8297093170811083E-2</v>
      </c>
      <c r="K57">
        <v>7</v>
      </c>
      <c r="L57">
        <v>2010</v>
      </c>
      <c r="M57">
        <f t="shared" si="6"/>
        <v>-7.8789974656018336E-3</v>
      </c>
      <c r="O57" s="1">
        <v>42491</v>
      </c>
      <c r="P57" s="9">
        <v>5</v>
      </c>
      <c r="Q57" s="9">
        <v>2016</v>
      </c>
      <c r="R57">
        <f>I127</f>
        <v>4.0316857070394896E-3</v>
      </c>
      <c r="S57">
        <f>M127</f>
        <v>-3.2407274375667594E-3</v>
      </c>
    </row>
    <row r="58" spans="1:19">
      <c r="A58" s="1">
        <v>40391</v>
      </c>
      <c r="B58">
        <v>14.87</v>
      </c>
      <c r="C58">
        <f>+CPI!C131</f>
        <v>0.99719730941704399</v>
      </c>
      <c r="D58">
        <f t="shared" si="0"/>
        <v>14.911793142214673</v>
      </c>
      <c r="G58">
        <v>8</v>
      </c>
      <c r="H58">
        <v>2010</v>
      </c>
      <c r="I58">
        <f t="shared" si="5"/>
        <v>4.6626267636056928E-2</v>
      </c>
      <c r="K58">
        <v>8</v>
      </c>
      <c r="L58">
        <v>2010</v>
      </c>
      <c r="M58">
        <f t="shared" si="6"/>
        <v>-5.4367604986992335E-3</v>
      </c>
      <c r="O58" s="1">
        <v>38869</v>
      </c>
      <c r="P58" s="9">
        <v>6</v>
      </c>
      <c r="Q58" s="9">
        <v>2006</v>
      </c>
      <c r="R58" s="8">
        <f>I8</f>
        <v>2.3992943487265883E-2</v>
      </c>
      <c r="S58" s="8"/>
    </row>
    <row r="59" spans="1:19">
      <c r="A59" s="1">
        <v>40422</v>
      </c>
      <c r="B59">
        <v>17.28</v>
      </c>
      <c r="C59">
        <f>+CPI!C132</f>
        <v>1.0001648641519401</v>
      </c>
      <c r="D59">
        <f t="shared" si="0"/>
        <v>17.277151617050716</v>
      </c>
      <c r="G59">
        <v>9</v>
      </c>
      <c r="H59">
        <v>2010</v>
      </c>
      <c r="I59">
        <f t="shared" si="5"/>
        <v>9.3113817446415004E-2</v>
      </c>
      <c r="K59">
        <v>9</v>
      </c>
      <c r="L59">
        <v>2010</v>
      </c>
      <c r="M59">
        <f t="shared" si="6"/>
        <v>1.4660347309740862E-2</v>
      </c>
      <c r="O59" s="1">
        <v>39234</v>
      </c>
      <c r="P59" s="9">
        <v>6</v>
      </c>
      <c r="Q59" s="9">
        <v>2007</v>
      </c>
      <c r="R59" s="8">
        <f>I20</f>
        <v>0.12188209730413924</v>
      </c>
      <c r="S59" s="8">
        <f>M20</f>
        <v>4.2933826460810565E-2</v>
      </c>
    </row>
    <row r="60" spans="1:19">
      <c r="A60" s="1">
        <v>40452</v>
      </c>
      <c r="B60">
        <v>15.31</v>
      </c>
      <c r="C60">
        <f>+CPI!C133</f>
        <v>1.00679240305988</v>
      </c>
      <c r="D60">
        <f t="shared" si="0"/>
        <v>15.206709897163798</v>
      </c>
      <c r="G60">
        <v>10</v>
      </c>
      <c r="H60">
        <v>2010</v>
      </c>
      <c r="I60">
        <f t="shared" si="5"/>
        <v>1.2823056450094406E-2</v>
      </c>
      <c r="K60">
        <v>10</v>
      </c>
      <c r="L60">
        <v>2010</v>
      </c>
      <c r="M60">
        <f t="shared" si="6"/>
        <v>8.2872905318343015E-3</v>
      </c>
      <c r="O60" s="1">
        <v>39600</v>
      </c>
      <c r="P60" s="9">
        <v>6</v>
      </c>
      <c r="Q60" s="9">
        <v>2008</v>
      </c>
      <c r="R60" s="8">
        <f>I32</f>
        <v>3.2037169219576445E-2</v>
      </c>
      <c r="S60" s="8">
        <f>M32</f>
        <v>-1.086119972948052E-2</v>
      </c>
    </row>
    <row r="61" spans="1:19">
      <c r="A61" s="1">
        <v>40483</v>
      </c>
      <c r="B61">
        <v>15.09</v>
      </c>
      <c r="C61">
        <f>+CPI!C134</f>
        <v>1.01134265365339</v>
      </c>
      <c r="D61">
        <f t="shared" si="0"/>
        <v>14.920758998435048</v>
      </c>
      <c r="G61">
        <v>11</v>
      </c>
      <c r="H61">
        <v>2010</v>
      </c>
      <c r="I61">
        <f t="shared" si="5"/>
        <v>2.0037965476227271E-4</v>
      </c>
      <c r="K61">
        <v>11</v>
      </c>
      <c r="L61">
        <v>2010</v>
      </c>
      <c r="M61">
        <f t="shared" si="6"/>
        <v>4.581224835027653E-3</v>
      </c>
      <c r="O61" s="1">
        <v>39965</v>
      </c>
      <c r="P61" s="9">
        <v>6</v>
      </c>
      <c r="Q61" s="9">
        <v>2009</v>
      </c>
      <c r="R61" s="8">
        <f>I44</f>
        <v>-2.535159355242067E-2</v>
      </c>
      <c r="S61" s="8">
        <f>M44</f>
        <v>-1.9304494994637045E-2</v>
      </c>
    </row>
    <row r="62" spans="1:19">
      <c r="A62" s="1">
        <v>40513</v>
      </c>
      <c r="B62">
        <v>15.6</v>
      </c>
      <c r="C62">
        <f>+CPI!C135</f>
        <v>1.0102545502506</v>
      </c>
      <c r="D62">
        <f t="shared" si="0"/>
        <v>15.441652795456672</v>
      </c>
      <c r="G62">
        <v>12</v>
      </c>
      <c r="H62">
        <v>2010</v>
      </c>
      <c r="I62">
        <f t="shared" si="5"/>
        <v>-3.6746609732755786E-2</v>
      </c>
      <c r="K62">
        <v>12</v>
      </c>
      <c r="L62">
        <v>2010</v>
      </c>
      <c r="M62">
        <f t="shared" si="6"/>
        <v>1.2945240855523066E-2</v>
      </c>
      <c r="O62" s="1">
        <v>40330</v>
      </c>
      <c r="P62" s="9">
        <v>6</v>
      </c>
      <c r="Q62" s="9">
        <v>2010</v>
      </c>
      <c r="R62" s="8">
        <f>I56</f>
        <v>-2.3116806741563245E-4</v>
      </c>
      <c r="S62" s="8">
        <f>M56</f>
        <v>-1.2088040698894242E-2</v>
      </c>
    </row>
    <row r="63" spans="1:19">
      <c r="A63" s="1">
        <v>40544</v>
      </c>
      <c r="B63">
        <v>19.88</v>
      </c>
      <c r="C63">
        <f>+CPI!C136</f>
        <v>1.0165853336850501</v>
      </c>
      <c r="D63">
        <f t="shared" si="0"/>
        <v>19.555662806914992</v>
      </c>
      <c r="G63">
        <v>1</v>
      </c>
      <c r="H63">
        <v>2011</v>
      </c>
      <c r="I63">
        <f t="shared" si="5"/>
        <v>8.7457834505865195E-2</v>
      </c>
      <c r="K63">
        <v>1</v>
      </c>
      <c r="L63">
        <v>2011</v>
      </c>
      <c r="M63">
        <f t="shared" si="6"/>
        <v>3.6475731538174072E-2</v>
      </c>
      <c r="O63" s="1">
        <v>40695</v>
      </c>
      <c r="P63" s="9">
        <v>6</v>
      </c>
      <c r="Q63" s="9">
        <v>2011</v>
      </c>
      <c r="R63" s="8">
        <f>I68</f>
        <v>0.10351664080409551</v>
      </c>
      <c r="S63" s="8">
        <f>M68</f>
        <v>7.1575502514079181E-2</v>
      </c>
    </row>
    <row r="64" spans="1:19">
      <c r="A64" s="1">
        <v>40575</v>
      </c>
      <c r="B64">
        <v>22</v>
      </c>
      <c r="C64">
        <f>+CPI!C137</f>
        <v>1.01846478501715</v>
      </c>
      <c r="D64">
        <f t="shared" si="0"/>
        <v>21.601139601139515</v>
      </c>
      <c r="G64">
        <v>2</v>
      </c>
      <c r="H64">
        <v>2011</v>
      </c>
      <c r="I64">
        <f t="shared" si="5"/>
        <v>0.13125865780006363</v>
      </c>
      <c r="K64">
        <v>2</v>
      </c>
      <c r="L64">
        <v>2011</v>
      </c>
      <c r="M64">
        <f t="shared" si="6"/>
        <v>4.2706566097341137E-2</v>
      </c>
      <c r="O64" s="1">
        <v>41061</v>
      </c>
      <c r="P64" s="9">
        <v>6</v>
      </c>
      <c r="Q64" s="9">
        <v>2012</v>
      </c>
      <c r="R64" s="8">
        <f>I80</f>
        <v>-2.9426730531554424E-2</v>
      </c>
      <c r="S64" s="8">
        <f>M80</f>
        <v>-5.2824906510408498E-2</v>
      </c>
    </row>
    <row r="65" spans="1:19">
      <c r="A65" s="1">
        <v>40603</v>
      </c>
      <c r="B65">
        <v>23.13</v>
      </c>
      <c r="C65">
        <f>+CPI!C138</f>
        <v>1.02509232392509</v>
      </c>
      <c r="D65">
        <f t="shared" si="0"/>
        <v>22.563821287271931</v>
      </c>
      <c r="G65">
        <v>3</v>
      </c>
      <c r="H65">
        <v>2011</v>
      </c>
      <c r="I65">
        <f t="shared" si="5"/>
        <v>0.13476593325705477</v>
      </c>
      <c r="K65">
        <v>3</v>
      </c>
      <c r="L65">
        <v>2011</v>
      </c>
      <c r="M65">
        <f t="shared" si="6"/>
        <v>4.5449244846449632E-2</v>
      </c>
      <c r="O65" s="1">
        <v>41426</v>
      </c>
      <c r="P65" s="9">
        <v>6</v>
      </c>
      <c r="Q65" s="9">
        <v>2013</v>
      </c>
      <c r="R65" s="8">
        <f>I92</f>
        <v>1.9611201993395388E-2</v>
      </c>
      <c r="S65" s="8">
        <f>M92</f>
        <v>-9.2199230045173497E-3</v>
      </c>
    </row>
    <row r="66" spans="1:19">
      <c r="A66" s="1">
        <v>40634</v>
      </c>
      <c r="B66">
        <v>25.57</v>
      </c>
      <c r="C66">
        <f>+CPI!C139</f>
        <v>1.05555921920338</v>
      </c>
      <c r="D66">
        <f t="shared" si="0"/>
        <v>24.224126448630162</v>
      </c>
      <c r="G66">
        <v>4</v>
      </c>
      <c r="H66">
        <v>2011</v>
      </c>
      <c r="I66">
        <f t="shared" si="5"/>
        <v>7.396928648186174E-2</v>
      </c>
      <c r="K66">
        <v>4</v>
      </c>
      <c r="L66">
        <v>2011</v>
      </c>
      <c r="M66">
        <f t="shared" si="6"/>
        <v>5.0180908446099792E-2</v>
      </c>
      <c r="O66" s="1">
        <v>41791</v>
      </c>
      <c r="P66" s="9">
        <v>6</v>
      </c>
      <c r="Q66" s="9">
        <v>2014</v>
      </c>
      <c r="R66" s="8">
        <f>I104</f>
        <v>5.9950669100861109E-2</v>
      </c>
      <c r="S66" s="8">
        <f>M104</f>
        <v>6.8031064768805383E-3</v>
      </c>
    </row>
    <row r="67" spans="1:19">
      <c r="A67" s="1">
        <v>40664</v>
      </c>
      <c r="B67">
        <v>27.46</v>
      </c>
      <c r="C67">
        <f>+CPI!C140</f>
        <v>1.0607029807438699</v>
      </c>
      <c r="D67">
        <f t="shared" si="0"/>
        <v>25.888491404768498</v>
      </c>
      <c r="G67">
        <v>5</v>
      </c>
      <c r="H67">
        <v>2011</v>
      </c>
      <c r="I67">
        <f t="shared" si="5"/>
        <v>6.2209121865372419E-2</v>
      </c>
      <c r="K67">
        <v>5</v>
      </c>
      <c r="L67">
        <v>2011</v>
      </c>
      <c r="M67">
        <f t="shared" si="6"/>
        <v>5.9040690685058461E-2</v>
      </c>
      <c r="O67" s="1">
        <v>42156</v>
      </c>
      <c r="P67" s="9">
        <v>6</v>
      </c>
      <c r="Q67" s="9">
        <v>2015</v>
      </c>
      <c r="R67">
        <f>I116</f>
        <v>-5.8199772474700762E-3</v>
      </c>
      <c r="S67">
        <f>M116</f>
        <v>1.6457839158022347E-2</v>
      </c>
    </row>
    <row r="68" spans="1:19">
      <c r="A68" s="1">
        <v>40695</v>
      </c>
      <c r="B68">
        <v>32.18</v>
      </c>
      <c r="C68">
        <f>+CPI!C141</f>
        <v>1.0612964916908501</v>
      </c>
      <c r="D68">
        <f t="shared" ref="D68:D131" si="7">+B68/C68</f>
        <v>30.321404293658837</v>
      </c>
      <c r="G68">
        <v>6</v>
      </c>
      <c r="H68">
        <v>2011</v>
      </c>
      <c r="I68">
        <f t="shared" si="5"/>
        <v>0.10351664080409551</v>
      </c>
      <c r="K68">
        <v>6</v>
      </c>
      <c r="L68">
        <v>2011</v>
      </c>
      <c r="M68">
        <f t="shared" si="6"/>
        <v>7.1575502514079181E-2</v>
      </c>
      <c r="O68" s="1">
        <v>42522</v>
      </c>
      <c r="P68" s="9">
        <v>6</v>
      </c>
      <c r="Q68" s="9">
        <v>2016</v>
      </c>
      <c r="R68">
        <f>I128</f>
        <v>-1.4384563238387993E-2</v>
      </c>
      <c r="S68">
        <f>M128</f>
        <v>-5.5937019331077087E-3</v>
      </c>
    </row>
    <row r="69" spans="1:19">
      <c r="A69" s="1">
        <v>40725</v>
      </c>
      <c r="B69">
        <v>31.1</v>
      </c>
      <c r="C69">
        <f>+CPI!C142</f>
        <v>1.0640662094434199</v>
      </c>
      <c r="D69">
        <f t="shared" si="7"/>
        <v>29.227504570667129</v>
      </c>
      <c r="G69">
        <v>7</v>
      </c>
      <c r="H69">
        <v>2011</v>
      </c>
      <c r="I69">
        <f t="shared" si="5"/>
        <v>6.4587111603545244E-2</v>
      </c>
      <c r="K69">
        <v>7</v>
      </c>
      <c r="L69">
        <v>2011</v>
      </c>
      <c r="M69">
        <f t="shared" si="6"/>
        <v>5.9326332089473466E-2</v>
      </c>
      <c r="O69" s="1">
        <v>38899</v>
      </c>
      <c r="P69" s="9">
        <v>7</v>
      </c>
      <c r="Q69" s="9">
        <v>2006</v>
      </c>
      <c r="R69" s="8">
        <f>I9</f>
        <v>9.2036924848668544E-3</v>
      </c>
      <c r="S69" s="8"/>
    </row>
    <row r="70" spans="1:19">
      <c r="A70" s="1">
        <v>40756</v>
      </c>
      <c r="B70">
        <v>31.69</v>
      </c>
      <c r="C70">
        <f>+CPI!C143</f>
        <v>1.0652532313373799</v>
      </c>
      <c r="D70">
        <f t="shared" si="7"/>
        <v>29.748794997988</v>
      </c>
      <c r="G70">
        <v>8</v>
      </c>
      <c r="H70">
        <v>2011</v>
      </c>
      <c r="I70">
        <f t="shared" ref="I70:I101" si="8">(D70/D67)^(1/3)-1</f>
        <v>4.742003893136304E-2</v>
      </c>
      <c r="K70">
        <v>8</v>
      </c>
      <c r="L70">
        <v>2011</v>
      </c>
      <c r="M70">
        <f t="shared" si="6"/>
        <v>5.9241430230928316E-2</v>
      </c>
      <c r="O70" s="1">
        <v>39264</v>
      </c>
      <c r="P70" s="9">
        <v>7</v>
      </c>
      <c r="Q70" s="9">
        <v>2007</v>
      </c>
      <c r="R70" s="8">
        <f>I21</f>
        <v>0.11962094407024293</v>
      </c>
      <c r="S70" s="8">
        <f>M21</f>
        <v>4.8994433847212582E-2</v>
      </c>
    </row>
    <row r="71" spans="1:19">
      <c r="A71" s="1">
        <v>40787</v>
      </c>
      <c r="B71">
        <v>24.99</v>
      </c>
      <c r="C71">
        <f>+CPI!C144</f>
        <v>1.0623845950936499</v>
      </c>
      <c r="D71">
        <f t="shared" si="7"/>
        <v>23.522554934822931</v>
      </c>
      <c r="G71">
        <v>9</v>
      </c>
      <c r="H71">
        <v>2011</v>
      </c>
      <c r="I71">
        <f t="shared" si="8"/>
        <v>-8.1149068169661942E-2</v>
      </c>
      <c r="K71">
        <v>9</v>
      </c>
      <c r="L71">
        <v>2011</v>
      </c>
      <c r="M71">
        <f t="shared" si="6"/>
        <v>2.6048041139362876E-2</v>
      </c>
      <c r="O71" s="1">
        <v>39630</v>
      </c>
      <c r="P71" s="9">
        <v>7</v>
      </c>
      <c r="Q71" s="9">
        <v>2008</v>
      </c>
      <c r="R71" s="8">
        <f>I33</f>
        <v>4.8229080852997264E-3</v>
      </c>
      <c r="S71" s="8">
        <f>M33</f>
        <v>-1.7431053557073084E-2</v>
      </c>
    </row>
    <row r="72" spans="1:19">
      <c r="A72" s="1">
        <v>40817</v>
      </c>
      <c r="B72">
        <v>22.08</v>
      </c>
      <c r="C72">
        <f>+CPI!C145</f>
        <v>1.0615932471643399</v>
      </c>
      <c r="D72">
        <f t="shared" si="7"/>
        <v>20.798926574729713</v>
      </c>
      <c r="G72">
        <v>10</v>
      </c>
      <c r="H72">
        <v>2011</v>
      </c>
      <c r="I72">
        <f t="shared" si="8"/>
        <v>-0.10720915496964234</v>
      </c>
      <c r="K72">
        <v>10</v>
      </c>
      <c r="L72">
        <v>2011</v>
      </c>
      <c r="M72">
        <f t="shared" si="6"/>
        <v>2.6440560324106688E-2</v>
      </c>
      <c r="O72" s="1">
        <v>39995</v>
      </c>
      <c r="P72" s="9">
        <v>7</v>
      </c>
      <c r="Q72" s="9">
        <v>2009</v>
      </c>
      <c r="R72" s="8">
        <f>I45</f>
        <v>-1.4031723522171746E-2</v>
      </c>
      <c r="S72" s="8">
        <f>M45</f>
        <v>-1.2677246449031121E-2</v>
      </c>
    </row>
    <row r="73" spans="1:19">
      <c r="A73" s="1">
        <v>40848</v>
      </c>
      <c r="B73">
        <v>18.260000000000002</v>
      </c>
      <c r="C73">
        <f>+CPI!C146</f>
        <v>1.0631759430229502</v>
      </c>
      <c r="D73">
        <f t="shared" si="7"/>
        <v>17.174955960798894</v>
      </c>
      <c r="G73">
        <v>11</v>
      </c>
      <c r="H73">
        <v>2011</v>
      </c>
      <c r="I73">
        <f t="shared" si="8"/>
        <v>-0.1673252070355401</v>
      </c>
      <c r="K73">
        <v>11</v>
      </c>
      <c r="L73">
        <v>2011</v>
      </c>
      <c r="M73">
        <f t="shared" si="6"/>
        <v>1.1793906854245861E-2</v>
      </c>
      <c r="O73" s="1">
        <v>40360</v>
      </c>
      <c r="P73" s="9">
        <v>7</v>
      </c>
      <c r="Q73" s="9">
        <v>2010</v>
      </c>
      <c r="R73" s="8">
        <f>I57</f>
        <v>2.8297093170811083E-2</v>
      </c>
      <c r="S73" s="8">
        <f>M57</f>
        <v>-7.8789974656018336E-3</v>
      </c>
    </row>
    <row r="74" spans="1:19">
      <c r="A74" s="1">
        <v>40878</v>
      </c>
      <c r="B74">
        <v>18.329999999999998</v>
      </c>
      <c r="C74">
        <f>+CPI!C147</f>
        <v>1.0612964916908501</v>
      </c>
      <c r="D74">
        <f t="shared" si="7"/>
        <v>17.271328175971611</v>
      </c>
      <c r="G74">
        <v>12</v>
      </c>
      <c r="H74">
        <v>2011</v>
      </c>
      <c r="I74">
        <f t="shared" si="8"/>
        <v>-9.7846548573682801E-2</v>
      </c>
      <c r="K74">
        <v>12</v>
      </c>
      <c r="L74">
        <v>2011</v>
      </c>
      <c r="M74">
        <f t="shared" si="6"/>
        <v>9.3752760128631429E-3</v>
      </c>
      <c r="O74" s="1">
        <v>40725</v>
      </c>
      <c r="P74" s="9">
        <v>7</v>
      </c>
      <c r="Q74" s="9">
        <v>2011</v>
      </c>
      <c r="R74" s="8">
        <f>I69</f>
        <v>6.4587111603545244E-2</v>
      </c>
      <c r="S74" s="8">
        <f>M69</f>
        <v>5.9326332089473466E-2</v>
      </c>
    </row>
    <row r="75" spans="1:19">
      <c r="A75" s="1">
        <v>40909</v>
      </c>
      <c r="B75">
        <v>18.149999999999999</v>
      </c>
      <c r="C75">
        <f>+CPI!C148</f>
        <v>1.0648575573727299</v>
      </c>
      <c r="D75">
        <f t="shared" si="7"/>
        <v>17.04453320947507</v>
      </c>
      <c r="G75">
        <v>1</v>
      </c>
      <c r="H75">
        <v>2012</v>
      </c>
      <c r="I75">
        <f t="shared" si="8"/>
        <v>-6.4203542714028172E-2</v>
      </c>
      <c r="K75">
        <v>1</v>
      </c>
      <c r="L75">
        <v>2012</v>
      </c>
      <c r="M75">
        <f t="shared" si="6"/>
        <v>-1.138761320759063E-2</v>
      </c>
      <c r="O75" s="1">
        <v>41091</v>
      </c>
      <c r="P75" s="9">
        <v>7</v>
      </c>
      <c r="Q75" s="9">
        <v>2012</v>
      </c>
      <c r="R75" s="8">
        <f>I81</f>
        <v>-1.2891045668291357E-2</v>
      </c>
      <c r="S75" s="8">
        <f>M81</f>
        <v>-4.9584002616891887E-2</v>
      </c>
    </row>
    <row r="76" spans="1:19">
      <c r="A76" s="1">
        <v>40940</v>
      </c>
      <c r="B76">
        <v>17.579999999999998</v>
      </c>
      <c r="C76">
        <f>+CPI!C149</f>
        <v>1.0683197045634401</v>
      </c>
      <c r="D76">
        <f t="shared" si="7"/>
        <v>16.455748148148142</v>
      </c>
      <c r="G76">
        <v>2</v>
      </c>
      <c r="H76">
        <v>2012</v>
      </c>
      <c r="I76">
        <f t="shared" si="8"/>
        <v>-1.415796201355235E-2</v>
      </c>
      <c r="K76">
        <v>2</v>
      </c>
      <c r="L76">
        <v>2012</v>
      </c>
      <c r="M76">
        <f t="shared" si="6"/>
        <v>-2.2417510138614039E-2</v>
      </c>
      <c r="O76" s="1">
        <v>41456</v>
      </c>
      <c r="P76" s="9">
        <v>7</v>
      </c>
      <c r="Q76" s="9">
        <v>2013</v>
      </c>
      <c r="R76" s="8">
        <f>I93</f>
        <v>2.0838596184820313E-2</v>
      </c>
      <c r="S76" s="8">
        <f>M93</f>
        <v>-8.1278622880091023E-3</v>
      </c>
    </row>
    <row r="77" spans="1:19">
      <c r="A77" s="1">
        <v>40969</v>
      </c>
      <c r="B77">
        <v>18.5</v>
      </c>
      <c r="C77">
        <f>+CPI!C150</f>
        <v>1.0699024004220599</v>
      </c>
      <c r="D77">
        <f t="shared" si="7"/>
        <v>17.291296844181336</v>
      </c>
      <c r="G77">
        <v>3</v>
      </c>
      <c r="H77">
        <v>2012</v>
      </c>
      <c r="I77">
        <f t="shared" si="8"/>
        <v>3.8524304927145536E-4</v>
      </c>
      <c r="K77">
        <v>3</v>
      </c>
      <c r="L77">
        <v>2012</v>
      </c>
      <c r="M77">
        <f t="shared" si="6"/>
        <v>-2.1934568461316695E-2</v>
      </c>
      <c r="O77" s="1">
        <v>41821</v>
      </c>
      <c r="P77" s="9">
        <v>7</v>
      </c>
      <c r="Q77" s="9">
        <v>2014</v>
      </c>
      <c r="R77" s="8">
        <f>I105</f>
        <v>0.11170556438988544</v>
      </c>
      <c r="S77" s="8">
        <f>M105</f>
        <v>1.8697269922849147E-2</v>
      </c>
    </row>
    <row r="78" spans="1:19">
      <c r="A78" s="1">
        <v>41000</v>
      </c>
      <c r="B78">
        <v>17.77</v>
      </c>
      <c r="C78">
        <f>+CPI!C151</f>
        <v>1.0765299393300001</v>
      </c>
      <c r="D78">
        <f t="shared" si="7"/>
        <v>16.506740175809245</v>
      </c>
      <c r="G78">
        <v>4</v>
      </c>
      <c r="H78">
        <v>2012</v>
      </c>
      <c r="I78">
        <f t="shared" si="8"/>
        <v>-1.0630006686975335E-2</v>
      </c>
      <c r="K78">
        <v>4</v>
      </c>
      <c r="L78">
        <v>2012</v>
      </c>
      <c r="M78">
        <f t="shared" si="6"/>
        <v>-3.1459544151007601E-2</v>
      </c>
      <c r="O78" s="1">
        <v>42186</v>
      </c>
      <c r="P78" s="9">
        <v>7</v>
      </c>
      <c r="Q78" s="9">
        <v>2015</v>
      </c>
      <c r="R78">
        <f>I117</f>
        <v>3.0660331921881001E-2</v>
      </c>
      <c r="S78">
        <f>M117</f>
        <v>1.1579933897282846E-2</v>
      </c>
    </row>
    <row r="79" spans="1:19">
      <c r="A79" s="1">
        <v>41030</v>
      </c>
      <c r="B79">
        <v>16.670000000000002</v>
      </c>
      <c r="C79">
        <f>+CPI!C152</f>
        <v>1.0735623845950999</v>
      </c>
      <c r="D79">
        <f t="shared" si="7"/>
        <v>15.527742252526094</v>
      </c>
      <c r="G79">
        <v>5</v>
      </c>
      <c r="H79">
        <v>2012</v>
      </c>
      <c r="I79">
        <f t="shared" si="8"/>
        <v>-1.9162879099703045E-2</v>
      </c>
      <c r="K79">
        <v>5</v>
      </c>
      <c r="L79">
        <v>2012</v>
      </c>
      <c r="M79">
        <f t="shared" ref="M79:M110" si="9">(D79/D67)^(1/12)-1</f>
        <v>-4.1702995019338607E-2</v>
      </c>
      <c r="O79" s="1">
        <v>42552</v>
      </c>
      <c r="P79" s="9">
        <v>7</v>
      </c>
      <c r="Q79" s="9">
        <v>2016</v>
      </c>
      <c r="R79">
        <f>I129</f>
        <v>-2.3285244556562334E-2</v>
      </c>
      <c r="S79">
        <f>M129</f>
        <v>-1.6262573637179201E-2</v>
      </c>
    </row>
    <row r="80" spans="1:19">
      <c r="A80" s="1">
        <v>41061</v>
      </c>
      <c r="B80">
        <v>16.88</v>
      </c>
      <c r="C80">
        <f>+CPI!C153</f>
        <v>1.0677261936164599</v>
      </c>
      <c r="D80">
        <f t="shared" si="7"/>
        <v>15.809296522759558</v>
      </c>
      <c r="G80">
        <v>6</v>
      </c>
      <c r="H80">
        <v>2012</v>
      </c>
      <c r="I80">
        <f t="shared" si="8"/>
        <v>-2.9426730531554424E-2</v>
      </c>
      <c r="K80">
        <v>6</v>
      </c>
      <c r="L80">
        <v>2012</v>
      </c>
      <c r="M80">
        <f t="shared" si="9"/>
        <v>-5.2824906510408498E-2</v>
      </c>
      <c r="O80" s="1">
        <v>38930</v>
      </c>
      <c r="P80" s="9">
        <v>8</v>
      </c>
      <c r="Q80" s="9">
        <v>2006</v>
      </c>
      <c r="R80" s="8">
        <f>I10</f>
        <v>1.2654508993410474E-2</v>
      </c>
      <c r="S80" s="8"/>
    </row>
    <row r="81" spans="1:19">
      <c r="A81" s="1">
        <v>41091</v>
      </c>
      <c r="B81">
        <v>16.899999999999999</v>
      </c>
      <c r="C81">
        <f>+CPI!C154</f>
        <v>1.0644618834080801</v>
      </c>
      <c r="D81">
        <f t="shared" si="7"/>
        <v>15.876566614007245</v>
      </c>
      <c r="G81">
        <v>7</v>
      </c>
      <c r="H81">
        <v>2012</v>
      </c>
      <c r="I81">
        <f t="shared" si="8"/>
        <v>-1.2891045668291357E-2</v>
      </c>
      <c r="K81">
        <v>7</v>
      </c>
      <c r="L81">
        <v>2012</v>
      </c>
      <c r="M81">
        <f t="shared" si="9"/>
        <v>-4.9584002616891887E-2</v>
      </c>
      <c r="O81" s="1">
        <v>39295</v>
      </c>
      <c r="P81" s="9">
        <v>8</v>
      </c>
      <c r="Q81" s="9">
        <v>2007</v>
      </c>
      <c r="R81" s="8">
        <f>I22</f>
        <v>5.3854618154110412E-2</v>
      </c>
      <c r="S81" s="8">
        <f>M22</f>
        <v>4.4293717965857571E-2</v>
      </c>
    </row>
    <row r="82" spans="1:19">
      <c r="A82" s="1">
        <v>41122</v>
      </c>
      <c r="B82">
        <v>17.68</v>
      </c>
      <c r="C82">
        <f>+CPI!C155</f>
        <v>1.0663215510419399</v>
      </c>
      <c r="D82">
        <f t="shared" si="7"/>
        <v>16.580364508927214</v>
      </c>
      <c r="G82">
        <v>8</v>
      </c>
      <c r="H82">
        <v>2012</v>
      </c>
      <c r="I82">
        <f t="shared" si="8"/>
        <v>2.2104389730962959E-2</v>
      </c>
      <c r="K82">
        <v>8</v>
      </c>
      <c r="L82">
        <v>2012</v>
      </c>
      <c r="M82">
        <f t="shared" si="9"/>
        <v>-4.7546626020101068E-2</v>
      </c>
      <c r="O82" s="1">
        <v>39661</v>
      </c>
      <c r="P82" s="9">
        <v>8</v>
      </c>
      <c r="Q82" s="9">
        <v>2008</v>
      </c>
      <c r="R82" s="8">
        <f>I34</f>
        <v>6.0945116762234353E-3</v>
      </c>
      <c r="S82" s="8">
        <f>M34</f>
        <v>-1.5224463026909496E-2</v>
      </c>
    </row>
    <row r="83" spans="1:19">
      <c r="A83" s="1">
        <v>41153</v>
      </c>
      <c r="B83">
        <v>16.05</v>
      </c>
      <c r="C83">
        <f>+CPI!C156</f>
        <v>1.0706937483513601</v>
      </c>
      <c r="D83">
        <f t="shared" si="7"/>
        <v>14.990280857354007</v>
      </c>
      <c r="G83">
        <v>9</v>
      </c>
      <c r="H83">
        <v>2012</v>
      </c>
      <c r="I83">
        <f t="shared" si="8"/>
        <v>-1.7575748009228898E-2</v>
      </c>
      <c r="K83">
        <v>9</v>
      </c>
      <c r="L83">
        <v>2012</v>
      </c>
      <c r="M83">
        <f t="shared" si="9"/>
        <v>-3.6850345463459666E-2</v>
      </c>
      <c r="O83" s="1">
        <v>40026</v>
      </c>
      <c r="P83" s="9">
        <v>8</v>
      </c>
      <c r="Q83" s="9">
        <v>2009</v>
      </c>
      <c r="R83" s="8">
        <f>I46</f>
        <v>-4.0894305660580388E-3</v>
      </c>
      <c r="S83" s="8">
        <f>M46</f>
        <v>-1.1792953092057523E-2</v>
      </c>
    </row>
    <row r="84" spans="1:19">
      <c r="A84" s="1">
        <v>41183</v>
      </c>
      <c r="B84">
        <v>14.34</v>
      </c>
      <c r="C84">
        <f>+CPI!C157</f>
        <v>1.0715840147718301</v>
      </c>
      <c r="D84">
        <f t="shared" si="7"/>
        <v>13.382058524877662</v>
      </c>
      <c r="G84">
        <v>10</v>
      </c>
      <c r="H84">
        <v>2012</v>
      </c>
      <c r="I84">
        <f t="shared" si="8"/>
        <v>-5.5383679042055101E-2</v>
      </c>
      <c r="K84">
        <v>10</v>
      </c>
      <c r="L84">
        <v>2012</v>
      </c>
      <c r="M84">
        <f t="shared" si="9"/>
        <v>-3.6081829858371939E-2</v>
      </c>
      <c r="O84" s="1">
        <v>40391</v>
      </c>
      <c r="P84" s="9">
        <v>8</v>
      </c>
      <c r="Q84" s="9">
        <v>2010</v>
      </c>
      <c r="R84" s="8">
        <f>I58</f>
        <v>4.6626267636056928E-2</v>
      </c>
      <c r="S84" s="8">
        <f>M58</f>
        <v>-5.4367604986992335E-3</v>
      </c>
    </row>
    <row r="85" spans="1:19">
      <c r="A85" s="1">
        <v>41214</v>
      </c>
      <c r="B85">
        <v>14.26</v>
      </c>
      <c r="C85">
        <f>+CPI!C158</f>
        <v>1.07010023740438</v>
      </c>
      <c r="D85">
        <f t="shared" si="7"/>
        <v>13.325854440130632</v>
      </c>
      <c r="G85">
        <v>11</v>
      </c>
      <c r="H85">
        <v>2012</v>
      </c>
      <c r="I85">
        <f t="shared" si="8"/>
        <v>-7.0248265924342967E-2</v>
      </c>
      <c r="K85">
        <v>11</v>
      </c>
      <c r="L85">
        <v>2012</v>
      </c>
      <c r="M85">
        <f t="shared" si="9"/>
        <v>-2.0923516346086246E-2</v>
      </c>
      <c r="O85" s="1">
        <v>40756</v>
      </c>
      <c r="P85" s="9">
        <v>8</v>
      </c>
      <c r="Q85" s="9">
        <v>2011</v>
      </c>
      <c r="R85" s="8">
        <f>I70</f>
        <v>4.742003893136304E-2</v>
      </c>
      <c r="S85" s="8">
        <f>M70</f>
        <v>5.9241430230928316E-2</v>
      </c>
    </row>
    <row r="86" spans="1:19">
      <c r="A86" s="1">
        <v>41244</v>
      </c>
      <c r="B86">
        <v>14.32</v>
      </c>
      <c r="C86">
        <f>+CPI!C159</f>
        <v>1.06960564494857</v>
      </c>
      <c r="D86">
        <f t="shared" si="7"/>
        <v>13.388111840685498</v>
      </c>
      <c r="G86">
        <v>12</v>
      </c>
      <c r="H86">
        <v>2012</v>
      </c>
      <c r="I86">
        <f t="shared" si="8"/>
        <v>-3.6977308109888751E-2</v>
      </c>
      <c r="K86">
        <v>12</v>
      </c>
      <c r="L86">
        <v>2012</v>
      </c>
      <c r="M86">
        <f t="shared" si="9"/>
        <v>-2.0999756980220941E-2</v>
      </c>
      <c r="O86" s="1">
        <v>41122</v>
      </c>
      <c r="P86" s="9">
        <v>8</v>
      </c>
      <c r="Q86" s="9">
        <v>2012</v>
      </c>
      <c r="R86" s="8">
        <f>I82</f>
        <v>2.2104389730962959E-2</v>
      </c>
      <c r="S86" s="8">
        <f>M82</f>
        <v>-4.7546626020101068E-2</v>
      </c>
    </row>
    <row r="87" spans="1:19">
      <c r="A87" s="1">
        <v>41275</v>
      </c>
      <c r="B87">
        <v>13.47</v>
      </c>
      <c r="C87">
        <f>+CPI!C160</f>
        <v>1.07415589554208</v>
      </c>
      <c r="D87">
        <f t="shared" si="7"/>
        <v>12.540079196979386</v>
      </c>
      <c r="G87">
        <v>1</v>
      </c>
      <c r="H87">
        <v>2013</v>
      </c>
      <c r="I87">
        <f t="shared" si="8"/>
        <v>-2.1428751706528915E-2</v>
      </c>
      <c r="K87">
        <v>1</v>
      </c>
      <c r="L87">
        <v>2013</v>
      </c>
      <c r="M87">
        <f t="shared" si="9"/>
        <v>-2.5250703060429536E-2</v>
      </c>
      <c r="O87" s="1">
        <v>41487</v>
      </c>
      <c r="P87" s="9">
        <v>8</v>
      </c>
      <c r="Q87" s="9">
        <v>2013</v>
      </c>
      <c r="R87" s="8">
        <f>I94</f>
        <v>3.164404024235945E-2</v>
      </c>
      <c r="S87" s="8">
        <f>M94</f>
        <v>-1.2094252390952853E-2</v>
      </c>
    </row>
    <row r="88" spans="1:19">
      <c r="A88" s="1">
        <v>41306</v>
      </c>
      <c r="B88">
        <v>13.35</v>
      </c>
      <c r="C88">
        <f>+CPI!C161</f>
        <v>1.07870614613559</v>
      </c>
      <c r="D88">
        <f t="shared" si="7"/>
        <v>12.375937643282832</v>
      </c>
      <c r="G88">
        <v>2</v>
      </c>
      <c r="H88">
        <v>2013</v>
      </c>
      <c r="I88">
        <f t="shared" si="8"/>
        <v>-2.4349325507185715E-2</v>
      </c>
      <c r="K88">
        <v>2</v>
      </c>
      <c r="L88">
        <v>2013</v>
      </c>
      <c r="M88">
        <f t="shared" si="9"/>
        <v>-2.3463740982592518E-2</v>
      </c>
      <c r="O88" s="1">
        <v>41852</v>
      </c>
      <c r="P88" s="9">
        <v>8</v>
      </c>
      <c r="Q88" s="9">
        <v>2014</v>
      </c>
      <c r="R88" s="8">
        <f>I106</f>
        <v>0.1451067044405836</v>
      </c>
      <c r="S88" s="8">
        <f>M106</f>
        <v>2.7133470398876813E-2</v>
      </c>
    </row>
    <row r="89" spans="1:19">
      <c r="A89" s="1">
        <v>41334</v>
      </c>
      <c r="B89">
        <v>14.52</v>
      </c>
      <c r="C89">
        <f>+CPI!C162</f>
        <v>1.0880044843049399</v>
      </c>
      <c r="D89">
        <f t="shared" si="7"/>
        <v>13.345533230293574</v>
      </c>
      <c r="G89">
        <v>3</v>
      </c>
      <c r="H89">
        <v>2013</v>
      </c>
      <c r="I89">
        <f t="shared" si="8"/>
        <v>-1.0612357397823402E-3</v>
      </c>
      <c r="K89">
        <v>3</v>
      </c>
      <c r="L89">
        <v>2013</v>
      </c>
      <c r="M89">
        <f t="shared" si="9"/>
        <v>-2.1353838466449004E-2</v>
      </c>
      <c r="O89" s="1">
        <v>42217</v>
      </c>
      <c r="P89" s="9">
        <v>8</v>
      </c>
      <c r="Q89" s="9">
        <v>2015</v>
      </c>
      <c r="R89" s="13">
        <f>I118</f>
        <v>1.4478143660501264E-2</v>
      </c>
      <c r="S89" s="13">
        <f>M118</f>
        <v>-2.3264442245825023E-3</v>
      </c>
    </row>
    <row r="90" spans="1:19">
      <c r="A90" s="1">
        <v>41365</v>
      </c>
      <c r="B90">
        <v>14.57</v>
      </c>
      <c r="C90">
        <f>+CPI!C163</f>
        <v>1.07672777631232</v>
      </c>
      <c r="D90">
        <f t="shared" si="7"/>
        <v>13.53173970295512</v>
      </c>
      <c r="G90">
        <v>4</v>
      </c>
      <c r="H90">
        <v>2013</v>
      </c>
      <c r="I90">
        <f t="shared" si="8"/>
        <v>2.5693929699508233E-2</v>
      </c>
      <c r="K90">
        <v>4</v>
      </c>
      <c r="L90">
        <v>2013</v>
      </c>
      <c r="M90">
        <f t="shared" si="9"/>
        <v>-1.6424520371118079E-2</v>
      </c>
      <c r="O90" s="1">
        <v>42583</v>
      </c>
      <c r="P90" s="9">
        <v>8</v>
      </c>
      <c r="Q90" s="9">
        <v>2016</v>
      </c>
      <c r="R90">
        <f>I130</f>
        <v>-1.3002959121990898E-2</v>
      </c>
      <c r="S90">
        <f>M130</f>
        <v>-1.006068271600391E-2</v>
      </c>
    </row>
    <row r="91" spans="1:19">
      <c r="A91" s="1">
        <v>41395</v>
      </c>
      <c r="B91">
        <v>14.03</v>
      </c>
      <c r="C91">
        <f>+CPI!C164</f>
        <v>1.0751450804537099</v>
      </c>
      <c r="D91">
        <f t="shared" si="7"/>
        <v>13.049401662219722</v>
      </c>
      <c r="G91">
        <v>5</v>
      </c>
      <c r="H91">
        <v>2013</v>
      </c>
      <c r="I91">
        <f t="shared" si="8"/>
        <v>1.7819644687285363E-2</v>
      </c>
      <c r="K91">
        <v>5</v>
      </c>
      <c r="L91">
        <v>2013</v>
      </c>
      <c r="M91">
        <f t="shared" si="9"/>
        <v>-1.4386015003161834E-2</v>
      </c>
      <c r="O91" s="1">
        <v>38961</v>
      </c>
      <c r="P91" s="9">
        <v>9</v>
      </c>
      <c r="Q91" s="9">
        <v>2006</v>
      </c>
      <c r="R91" s="8">
        <f>I11</f>
        <v>1.7291154448602075E-3</v>
      </c>
      <c r="S91" s="8"/>
    </row>
    <row r="92" spans="1:19">
      <c r="A92" s="1">
        <v>41426</v>
      </c>
      <c r="B92">
        <v>15.24</v>
      </c>
      <c r="C92">
        <f>+CPI!C165</f>
        <v>1.0773212872592999</v>
      </c>
      <c r="D92">
        <f t="shared" si="7"/>
        <v>14.146197777981801</v>
      </c>
      <c r="G92">
        <v>6</v>
      </c>
      <c r="H92">
        <v>2013</v>
      </c>
      <c r="I92">
        <f t="shared" si="8"/>
        <v>1.9611201993395388E-2</v>
      </c>
      <c r="K92">
        <v>6</v>
      </c>
      <c r="L92">
        <v>2013</v>
      </c>
      <c r="M92">
        <f t="shared" si="9"/>
        <v>-9.2199230045173497E-3</v>
      </c>
      <c r="O92" s="1">
        <v>39326</v>
      </c>
      <c r="P92" s="9">
        <v>9</v>
      </c>
      <c r="Q92" s="9">
        <v>2007</v>
      </c>
      <c r="R92" s="8">
        <f>I23</f>
        <v>-1.2581949933381908E-2</v>
      </c>
      <c r="S92" s="8">
        <f>M23</f>
        <v>3.9188769895444509E-2</v>
      </c>
    </row>
    <row r="93" spans="1:19">
      <c r="A93" s="1">
        <v>41456</v>
      </c>
      <c r="B93">
        <v>15.49</v>
      </c>
      <c r="C93">
        <f>+CPI!C166</f>
        <v>1.0760353468741801</v>
      </c>
      <c r="D93">
        <f t="shared" si="7"/>
        <v>14.395437886866398</v>
      </c>
      <c r="G93">
        <v>7</v>
      </c>
      <c r="H93">
        <v>2013</v>
      </c>
      <c r="I93">
        <f t="shared" si="8"/>
        <v>2.0838596184820313E-2</v>
      </c>
      <c r="K93">
        <v>7</v>
      </c>
      <c r="L93">
        <v>2013</v>
      </c>
      <c r="M93">
        <f t="shared" si="9"/>
        <v>-8.1278622880091023E-3</v>
      </c>
      <c r="O93" s="1">
        <v>39692</v>
      </c>
      <c r="P93" s="9">
        <v>9</v>
      </c>
      <c r="Q93" s="9">
        <v>2008</v>
      </c>
      <c r="R93" s="8">
        <f>I35</f>
        <v>-2.1896395117263268E-2</v>
      </c>
      <c r="S93" s="8">
        <f>M35</f>
        <v>-1.3202166386032999E-2</v>
      </c>
    </row>
    <row r="94" spans="1:19">
      <c r="A94" s="1">
        <v>41487</v>
      </c>
      <c r="B94">
        <v>15.43</v>
      </c>
      <c r="C94">
        <f>+CPI!C167</f>
        <v>1.0769256132946499</v>
      </c>
      <c r="D94">
        <f t="shared" si="7"/>
        <v>14.327823397936315</v>
      </c>
      <c r="G94">
        <v>8</v>
      </c>
      <c r="H94">
        <v>2013</v>
      </c>
      <c r="I94">
        <f t="shared" si="8"/>
        <v>3.164404024235945E-2</v>
      </c>
      <c r="K94">
        <v>8</v>
      </c>
      <c r="L94">
        <v>2013</v>
      </c>
      <c r="M94">
        <f t="shared" si="9"/>
        <v>-1.2094252390952853E-2</v>
      </c>
      <c r="O94" s="1">
        <v>40057</v>
      </c>
      <c r="P94" s="9">
        <v>9</v>
      </c>
      <c r="Q94" s="9">
        <v>2009</v>
      </c>
      <c r="R94" s="8">
        <f>I47</f>
        <v>-1.7674085550228313E-2</v>
      </c>
      <c r="S94" s="8">
        <f>M47</f>
        <v>-1.8247829411247252E-2</v>
      </c>
    </row>
    <row r="95" spans="1:19">
      <c r="A95" s="1">
        <v>41518</v>
      </c>
      <c r="B95">
        <v>15.51</v>
      </c>
      <c r="C95">
        <f>+CPI!C168</f>
        <v>1.07880506462675</v>
      </c>
      <c r="D95">
        <f t="shared" si="7"/>
        <v>14.377018155143926</v>
      </c>
      <c r="G95">
        <v>9</v>
      </c>
      <c r="H95">
        <v>2013</v>
      </c>
      <c r="I95">
        <f t="shared" si="8"/>
        <v>5.4096095554374557E-3</v>
      </c>
      <c r="K95">
        <v>9</v>
      </c>
      <c r="L95">
        <v>2013</v>
      </c>
      <c r="M95">
        <f t="shared" si="9"/>
        <v>-3.4748717790376027E-3</v>
      </c>
      <c r="O95" s="1">
        <v>40422</v>
      </c>
      <c r="P95" s="9">
        <v>9</v>
      </c>
      <c r="Q95" s="9">
        <v>2010</v>
      </c>
      <c r="R95" s="8">
        <f>I59</f>
        <v>9.3113817446415004E-2</v>
      </c>
      <c r="S95" s="8">
        <f>M59</f>
        <v>1.4660347309740862E-2</v>
      </c>
    </row>
    <row r="96" spans="1:19">
      <c r="A96" s="1">
        <v>41548</v>
      </c>
      <c r="B96">
        <v>13.81</v>
      </c>
      <c r="C96">
        <f>+CPI!C169</f>
        <v>1.0773212872592999</v>
      </c>
      <c r="D96">
        <f t="shared" si="7"/>
        <v>12.818831451045188</v>
      </c>
      <c r="G96">
        <v>10</v>
      </c>
      <c r="H96">
        <v>2013</v>
      </c>
      <c r="I96">
        <f t="shared" si="8"/>
        <v>-3.7927385868698482E-2</v>
      </c>
      <c r="K96">
        <v>10</v>
      </c>
      <c r="L96">
        <v>2013</v>
      </c>
      <c r="M96">
        <f t="shared" si="9"/>
        <v>-3.5768873829382652E-3</v>
      </c>
      <c r="O96" s="1">
        <v>40787</v>
      </c>
      <c r="P96" s="9">
        <v>9</v>
      </c>
      <c r="Q96" s="9">
        <v>2011</v>
      </c>
      <c r="R96" s="8">
        <f>I71</f>
        <v>-8.1149068169661942E-2</v>
      </c>
      <c r="S96" s="8">
        <f>M71</f>
        <v>2.6048041139362876E-2</v>
      </c>
    </row>
    <row r="97" spans="1:19">
      <c r="A97" s="1">
        <v>41579</v>
      </c>
      <c r="B97">
        <v>13.79</v>
      </c>
      <c r="C97">
        <f>+CPI!C170</f>
        <v>1.0782115536797701</v>
      </c>
      <c r="D97">
        <f t="shared" si="7"/>
        <v>12.789697859327191</v>
      </c>
      <c r="G97">
        <v>11</v>
      </c>
      <c r="H97">
        <v>2013</v>
      </c>
      <c r="I97">
        <f t="shared" si="8"/>
        <v>-3.7146925049266422E-2</v>
      </c>
      <c r="K97">
        <v>11</v>
      </c>
      <c r="L97">
        <v>2013</v>
      </c>
      <c r="M97">
        <f t="shared" si="9"/>
        <v>-3.4163259472941299E-3</v>
      </c>
      <c r="O97" s="1">
        <v>41153</v>
      </c>
      <c r="P97" s="9">
        <v>9</v>
      </c>
      <c r="Q97" s="9">
        <v>2012</v>
      </c>
      <c r="R97" s="8">
        <f>I83</f>
        <v>-1.7575748009228898E-2</v>
      </c>
      <c r="S97" s="8">
        <f>M83</f>
        <v>-3.6850345463459666E-2</v>
      </c>
    </row>
    <row r="98" spans="1:19">
      <c r="A98" s="1">
        <v>41609</v>
      </c>
      <c r="B98">
        <v>12.84</v>
      </c>
      <c r="C98">
        <f>+CPI!C171</f>
        <v>1.0780137166974399</v>
      </c>
      <c r="D98">
        <f t="shared" si="7"/>
        <v>11.910794641218587</v>
      </c>
      <c r="G98">
        <v>12</v>
      </c>
      <c r="H98">
        <v>2013</v>
      </c>
      <c r="I98">
        <f t="shared" si="8"/>
        <v>-6.0801683939869844E-2</v>
      </c>
      <c r="K98">
        <v>12</v>
      </c>
      <c r="L98">
        <v>2013</v>
      </c>
      <c r="M98">
        <f t="shared" si="9"/>
        <v>-9.6961888239104344E-3</v>
      </c>
      <c r="O98" s="1">
        <v>41518</v>
      </c>
      <c r="P98" s="9">
        <v>9</v>
      </c>
      <c r="Q98" s="9">
        <v>2013</v>
      </c>
      <c r="R98" s="8">
        <f>I95</f>
        <v>5.4096095554374557E-3</v>
      </c>
      <c r="S98" s="8">
        <f>M95</f>
        <v>-3.4748717790376027E-3</v>
      </c>
    </row>
    <row r="99" spans="1:19">
      <c r="A99" s="1">
        <v>41640</v>
      </c>
      <c r="B99">
        <v>12.33</v>
      </c>
      <c r="C99">
        <f>+CPI!C172</f>
        <v>1.0832563967291</v>
      </c>
      <c r="D99">
        <f t="shared" si="7"/>
        <v>11.382346817642174</v>
      </c>
      <c r="G99">
        <v>1</v>
      </c>
      <c r="H99">
        <v>2014</v>
      </c>
      <c r="I99">
        <f t="shared" si="8"/>
        <v>-3.8842721534381841E-2</v>
      </c>
      <c r="K99">
        <v>1</v>
      </c>
      <c r="L99">
        <v>2014</v>
      </c>
      <c r="M99">
        <f t="shared" si="9"/>
        <v>-8.0396924273986592E-3</v>
      </c>
      <c r="O99" s="1">
        <v>41883</v>
      </c>
      <c r="P99" s="9">
        <v>9</v>
      </c>
      <c r="Q99" s="9">
        <v>2014</v>
      </c>
      <c r="R99" s="8">
        <f>I107</f>
        <v>3.4895235441195549E-2</v>
      </c>
      <c r="S99" s="8">
        <f>M107</f>
        <v>1.4104910831894468E-2</v>
      </c>
    </row>
    <row r="100" spans="1:19">
      <c r="A100" s="1">
        <v>41671</v>
      </c>
      <c r="B100">
        <v>12.91</v>
      </c>
      <c r="C100">
        <f>+CPI!C173</f>
        <v>1.08533368504353</v>
      </c>
      <c r="D100">
        <f t="shared" si="7"/>
        <v>11.894959290314675</v>
      </c>
      <c r="G100">
        <v>2</v>
      </c>
      <c r="H100">
        <v>2014</v>
      </c>
      <c r="I100">
        <f t="shared" si="8"/>
        <v>-2.3885213399172045E-2</v>
      </c>
      <c r="K100">
        <v>2</v>
      </c>
      <c r="L100">
        <v>2014</v>
      </c>
      <c r="M100">
        <f t="shared" si="9"/>
        <v>-3.2978296256409578E-3</v>
      </c>
      <c r="O100" s="1">
        <v>42248</v>
      </c>
      <c r="P100" s="9">
        <v>9</v>
      </c>
      <c r="Q100" s="9">
        <v>2015</v>
      </c>
      <c r="R100">
        <f>I119</f>
        <v>-1.4467047819498591E-3</v>
      </c>
      <c r="S100">
        <f>M119</f>
        <v>7.4142390948543913E-3</v>
      </c>
    </row>
    <row r="101" spans="1:19">
      <c r="A101" s="1">
        <v>41699</v>
      </c>
      <c r="B101">
        <v>14.02</v>
      </c>
      <c r="C101">
        <f>+CPI!C174</f>
        <v>1.0880044843049399</v>
      </c>
      <c r="D101">
        <f t="shared" si="7"/>
        <v>12.885976300875752</v>
      </c>
      <c r="G101">
        <v>3</v>
      </c>
      <c r="H101">
        <v>2014</v>
      </c>
      <c r="I101">
        <f t="shared" si="8"/>
        <v>2.6578577305259143E-2</v>
      </c>
      <c r="K101">
        <v>3</v>
      </c>
      <c r="L101">
        <v>2014</v>
      </c>
      <c r="M101">
        <f t="shared" si="9"/>
        <v>-2.9159177453150775E-3</v>
      </c>
      <c r="O101" s="1">
        <v>42614</v>
      </c>
      <c r="P101" s="9">
        <v>9</v>
      </c>
      <c r="Q101" s="9">
        <v>2016</v>
      </c>
      <c r="R101">
        <f>I131</f>
        <v>-1.0051755262715067E-2</v>
      </c>
      <c r="S101">
        <f>M131</f>
        <v>-7.7429884394644155E-3</v>
      </c>
    </row>
    <row r="102" spans="1:19">
      <c r="A102" s="1">
        <v>41730</v>
      </c>
      <c r="B102">
        <v>14.17</v>
      </c>
      <c r="C102">
        <f>+CPI!C175</f>
        <v>1.08286072276445</v>
      </c>
      <c r="D102">
        <f t="shared" si="7"/>
        <v>13.085708717761239</v>
      </c>
      <c r="G102">
        <v>4</v>
      </c>
      <c r="H102">
        <v>2014</v>
      </c>
      <c r="I102">
        <f t="shared" ref="I102:I128" si="10">(D102/D99)^(1/3)-1</f>
        <v>4.7583086894081195E-2</v>
      </c>
      <c r="K102">
        <v>4</v>
      </c>
      <c r="L102">
        <v>2014</v>
      </c>
      <c r="M102">
        <f t="shared" si="9"/>
        <v>-2.7892127263023925E-3</v>
      </c>
      <c r="O102" s="1">
        <v>38991</v>
      </c>
      <c r="P102" s="9">
        <v>10</v>
      </c>
      <c r="Q102" s="9">
        <v>2006</v>
      </c>
      <c r="R102" s="8">
        <f>I12</f>
        <v>-2.2590489192398922E-3</v>
      </c>
      <c r="S102" s="8"/>
    </row>
    <row r="103" spans="1:19">
      <c r="A103" s="1">
        <v>41760</v>
      </c>
      <c r="B103">
        <v>14.28</v>
      </c>
      <c r="C103">
        <f>+CPI!C176</f>
        <v>1.08533368504353</v>
      </c>
      <c r="D103">
        <f t="shared" si="7"/>
        <v>13.15724389354714</v>
      </c>
      <c r="G103">
        <v>5</v>
      </c>
      <c r="H103">
        <v>2014</v>
      </c>
      <c r="I103">
        <f t="shared" si="10"/>
        <v>3.4190764329437906E-2</v>
      </c>
      <c r="K103">
        <v>5</v>
      </c>
      <c r="L103">
        <v>2014</v>
      </c>
      <c r="M103">
        <f t="shared" si="9"/>
        <v>6.8608444023232629E-4</v>
      </c>
      <c r="O103" s="1">
        <v>39356</v>
      </c>
      <c r="P103" s="9">
        <v>10</v>
      </c>
      <c r="Q103" s="9">
        <v>2007</v>
      </c>
      <c r="R103" s="8">
        <f>I24</f>
        <v>-6.140381094899805E-2</v>
      </c>
      <c r="S103" s="8">
        <f>M24</f>
        <v>3.3090649981902587E-2</v>
      </c>
    </row>
    <row r="104" spans="1:19">
      <c r="A104" s="1">
        <v>41791</v>
      </c>
      <c r="B104">
        <v>16.72</v>
      </c>
      <c r="C104">
        <f>+CPI!C177</f>
        <v>1.0895871801635499</v>
      </c>
      <c r="D104">
        <f t="shared" si="7"/>
        <v>15.345261310334326</v>
      </c>
      <c r="G104">
        <v>6</v>
      </c>
      <c r="H104">
        <v>2014</v>
      </c>
      <c r="I104">
        <f t="shared" si="10"/>
        <v>5.9950669100861109E-2</v>
      </c>
      <c r="K104">
        <v>6</v>
      </c>
      <c r="L104">
        <v>2014</v>
      </c>
      <c r="M104">
        <f t="shared" si="9"/>
        <v>6.8031064768805383E-3</v>
      </c>
      <c r="O104" s="1">
        <v>39722</v>
      </c>
      <c r="P104" s="9">
        <v>10</v>
      </c>
      <c r="Q104" s="9">
        <v>2008</v>
      </c>
      <c r="R104" s="8">
        <f>I36</f>
        <v>-3.6761647036563705E-2</v>
      </c>
      <c r="S104" s="8">
        <f>M36</f>
        <v>-1.1044433398398668E-2</v>
      </c>
    </row>
    <row r="105" spans="1:19">
      <c r="A105" s="1">
        <v>41821</v>
      </c>
      <c r="B105">
        <v>19.7</v>
      </c>
      <c r="C105">
        <f>+CPI!C178</f>
        <v>1.09572012661567</v>
      </c>
      <c r="D105">
        <f t="shared" si="7"/>
        <v>17.979043664048607</v>
      </c>
      <c r="G105">
        <v>7</v>
      </c>
      <c r="H105">
        <v>2014</v>
      </c>
      <c r="I105">
        <f t="shared" si="10"/>
        <v>0.11170556438988544</v>
      </c>
      <c r="K105">
        <v>7</v>
      </c>
      <c r="L105">
        <v>2014</v>
      </c>
      <c r="M105">
        <f t="shared" si="9"/>
        <v>1.8697269922849147E-2</v>
      </c>
      <c r="O105" s="1">
        <v>40087</v>
      </c>
      <c r="P105" s="9">
        <v>10</v>
      </c>
      <c r="Q105" s="9">
        <v>2009</v>
      </c>
      <c r="R105" s="8">
        <f>I48</f>
        <v>-5.0587421303390889E-2</v>
      </c>
      <c r="S105" s="8">
        <f>M48</f>
        <v>-1.6239344324692095E-2</v>
      </c>
    </row>
    <row r="106" spans="1:19">
      <c r="A106" s="1">
        <v>41852</v>
      </c>
      <c r="B106">
        <v>21.7</v>
      </c>
      <c r="C106">
        <f>+CPI!C179</f>
        <v>1.0983909258770799</v>
      </c>
      <c r="D106">
        <f t="shared" si="7"/>
        <v>19.756171950047985</v>
      </c>
      <c r="G106">
        <v>8</v>
      </c>
      <c r="H106">
        <v>2014</v>
      </c>
      <c r="I106">
        <f t="shared" si="10"/>
        <v>0.1451067044405836</v>
      </c>
      <c r="K106">
        <v>8</v>
      </c>
      <c r="L106">
        <v>2014</v>
      </c>
      <c r="M106">
        <f t="shared" si="9"/>
        <v>2.7133470398876813E-2</v>
      </c>
      <c r="O106" s="1">
        <v>40452</v>
      </c>
      <c r="P106" s="9">
        <v>10</v>
      </c>
      <c r="Q106" s="9">
        <v>2010</v>
      </c>
      <c r="R106" s="8">
        <f>I60</f>
        <v>1.2823056450094406E-2</v>
      </c>
      <c r="S106" s="8">
        <f>M60</f>
        <v>8.2872905318343015E-3</v>
      </c>
    </row>
    <row r="107" spans="1:19">
      <c r="A107" s="1">
        <v>41883</v>
      </c>
      <c r="B107">
        <v>18.66</v>
      </c>
      <c r="C107">
        <f>+CPI!C180</f>
        <v>1.0971049854919601</v>
      </c>
      <c r="D107">
        <f t="shared" si="7"/>
        <v>17.008399603281855</v>
      </c>
      <c r="G107">
        <v>9</v>
      </c>
      <c r="H107">
        <v>2014</v>
      </c>
      <c r="I107">
        <f t="shared" si="10"/>
        <v>3.4895235441195549E-2</v>
      </c>
      <c r="K107">
        <v>9</v>
      </c>
      <c r="L107">
        <v>2014</v>
      </c>
      <c r="M107">
        <f t="shared" si="9"/>
        <v>1.4104910831894468E-2</v>
      </c>
      <c r="O107" s="1">
        <v>40817</v>
      </c>
      <c r="P107" s="9">
        <v>10</v>
      </c>
      <c r="Q107" s="9">
        <v>2011</v>
      </c>
      <c r="R107" s="8">
        <f>I72</f>
        <v>-0.10720915496964234</v>
      </c>
      <c r="S107" s="8">
        <f>M72</f>
        <v>2.6440560324106688E-2</v>
      </c>
    </row>
    <row r="108" spans="1:19">
      <c r="A108" s="1">
        <v>41913</v>
      </c>
      <c r="B108">
        <v>18.579999999999998</v>
      </c>
      <c r="C108">
        <f>+CPI!C181</f>
        <v>1.0975995779477699</v>
      </c>
      <c r="D108">
        <f t="shared" si="7"/>
        <v>16.927849074741665</v>
      </c>
      <c r="G108">
        <v>10</v>
      </c>
      <c r="H108">
        <v>2014</v>
      </c>
      <c r="I108">
        <f t="shared" si="10"/>
        <v>-1.9881928003069982E-2</v>
      </c>
      <c r="K108">
        <v>10</v>
      </c>
      <c r="L108">
        <v>2014</v>
      </c>
      <c r="M108">
        <f t="shared" si="9"/>
        <v>2.3440922693477306E-2</v>
      </c>
      <c r="O108" s="1">
        <v>41183</v>
      </c>
      <c r="P108" s="9">
        <v>10</v>
      </c>
      <c r="Q108" s="9">
        <v>2012</v>
      </c>
      <c r="R108" s="8">
        <f>I84</f>
        <v>-5.5383679042055101E-2</v>
      </c>
      <c r="S108" s="8">
        <f>M84</f>
        <v>-3.6081829858371939E-2</v>
      </c>
    </row>
    <row r="109" spans="1:19">
      <c r="A109" s="1">
        <v>41944</v>
      </c>
      <c r="B109">
        <v>18.25</v>
      </c>
      <c r="C109">
        <f>+CPI!C182</f>
        <v>1.0920601424426299</v>
      </c>
      <c r="D109">
        <f t="shared" si="7"/>
        <v>16.711533816425082</v>
      </c>
      <c r="G109">
        <v>11</v>
      </c>
      <c r="H109">
        <v>2014</v>
      </c>
      <c r="I109">
        <f t="shared" si="10"/>
        <v>-5.426127680212478E-2</v>
      </c>
      <c r="K109">
        <v>11</v>
      </c>
      <c r="L109">
        <v>2014</v>
      </c>
      <c r="M109">
        <f t="shared" si="9"/>
        <v>2.2538500354221114E-2</v>
      </c>
      <c r="O109" s="1">
        <v>41548</v>
      </c>
      <c r="P109" s="9">
        <v>10</v>
      </c>
      <c r="Q109" s="9">
        <v>2013</v>
      </c>
      <c r="R109" s="8">
        <f>I96</f>
        <v>-3.7927385868698482E-2</v>
      </c>
      <c r="S109" s="8">
        <f>M96</f>
        <v>-3.5768873829382652E-3</v>
      </c>
    </row>
    <row r="110" spans="1:19">
      <c r="A110" s="1">
        <v>41974</v>
      </c>
      <c r="B110">
        <v>17.68</v>
      </c>
      <c r="C110">
        <f>+CPI!C183</f>
        <v>1.0831574782379401</v>
      </c>
      <c r="D110">
        <f t="shared" si="7"/>
        <v>16.322649619482373</v>
      </c>
      <c r="G110">
        <v>12</v>
      </c>
      <c r="H110">
        <v>2014</v>
      </c>
      <c r="I110">
        <f t="shared" si="10"/>
        <v>-1.3624213999138268E-2</v>
      </c>
      <c r="K110">
        <v>12</v>
      </c>
      <c r="L110">
        <v>2014</v>
      </c>
      <c r="M110">
        <f t="shared" si="9"/>
        <v>2.6606855582173905E-2</v>
      </c>
      <c r="O110" s="1">
        <v>41913</v>
      </c>
      <c r="P110" s="9">
        <v>10</v>
      </c>
      <c r="Q110" s="9">
        <v>2014</v>
      </c>
      <c r="R110" s="8">
        <f>I108</f>
        <v>-1.9881928003069982E-2</v>
      </c>
      <c r="S110" s="8">
        <f>M108</f>
        <v>2.3440922693477306E-2</v>
      </c>
    </row>
    <row r="111" spans="1:19">
      <c r="A111" s="1">
        <v>42005</v>
      </c>
      <c r="B111">
        <v>20.190000000000001</v>
      </c>
      <c r="C111">
        <f>+CPI!C184</f>
        <v>1.0751450804537099</v>
      </c>
      <c r="D111">
        <f t="shared" si="7"/>
        <v>18.778860980770936</v>
      </c>
      <c r="G111">
        <v>1</v>
      </c>
      <c r="H111">
        <v>2015</v>
      </c>
      <c r="I111">
        <f t="shared" si="10"/>
        <v>3.5195771933349107E-2</v>
      </c>
      <c r="K111">
        <v>1</v>
      </c>
      <c r="L111">
        <v>2015</v>
      </c>
      <c r="M111">
        <f t="shared" ref="M111:M136" si="11">(D111/D99)^(1/12)-1</f>
        <v>4.2604958499111945E-2</v>
      </c>
      <c r="O111" s="1">
        <v>42278</v>
      </c>
      <c r="P111" s="9">
        <v>10</v>
      </c>
      <c r="Q111" s="9">
        <v>2015</v>
      </c>
      <c r="R111">
        <f>I120</f>
        <v>-5.4116866049562007E-2</v>
      </c>
      <c r="S111">
        <f>M120</f>
        <v>2.6283422462749506E-3</v>
      </c>
    </row>
    <row r="112" spans="1:19">
      <c r="A112" s="1">
        <v>42036</v>
      </c>
      <c r="B112">
        <v>20.100000000000001</v>
      </c>
      <c r="C112">
        <f>+CPI!C185</f>
        <v>1.07385914006859</v>
      </c>
      <c r="D112">
        <f t="shared" si="7"/>
        <v>18.717538688282865</v>
      </c>
      <c r="G112">
        <v>2</v>
      </c>
      <c r="H112">
        <v>2015</v>
      </c>
      <c r="I112">
        <f t="shared" si="10"/>
        <v>3.8510302092540138E-2</v>
      </c>
      <c r="K112">
        <v>2</v>
      </c>
      <c r="L112">
        <v>2015</v>
      </c>
      <c r="M112">
        <f t="shared" si="11"/>
        <v>3.8501548122606755E-2</v>
      </c>
      <c r="O112" s="1">
        <v>42644</v>
      </c>
      <c r="P112" s="9">
        <v>10</v>
      </c>
      <c r="Q112" s="9">
        <v>2016</v>
      </c>
      <c r="R112">
        <f>I132</f>
        <v>-3.6118127083471174E-2</v>
      </c>
      <c r="S112">
        <f>M132</f>
        <v>-1.1615838718702309E-2</v>
      </c>
    </row>
    <row r="113" spans="1:19">
      <c r="A113" s="1">
        <v>42064</v>
      </c>
      <c r="B113">
        <v>20.5</v>
      </c>
      <c r="C113">
        <f>+CPI!C186</f>
        <v>1.0792007385914</v>
      </c>
      <c r="D113">
        <f t="shared" si="7"/>
        <v>18.995539260617182</v>
      </c>
      <c r="G113">
        <v>3</v>
      </c>
      <c r="H113">
        <v>2015</v>
      </c>
      <c r="I113">
        <f t="shared" si="10"/>
        <v>5.1849624685506468E-2</v>
      </c>
      <c r="K113">
        <v>3</v>
      </c>
      <c r="L113">
        <v>2015</v>
      </c>
      <c r="M113">
        <f t="shared" si="11"/>
        <v>3.2867292353777611E-2</v>
      </c>
      <c r="O113" s="1">
        <v>39022</v>
      </c>
      <c r="P113" s="9">
        <v>11</v>
      </c>
      <c r="Q113" s="9">
        <v>2006</v>
      </c>
      <c r="R113" s="8">
        <f>I13</f>
        <v>-9.1819591544917145E-4</v>
      </c>
      <c r="S113" s="8"/>
    </row>
    <row r="114" spans="1:19">
      <c r="A114" s="1">
        <v>42095</v>
      </c>
      <c r="B114">
        <v>20.350000000000001</v>
      </c>
      <c r="C114">
        <f>+CPI!C187</f>
        <v>1.0792996570825699</v>
      </c>
      <c r="D114">
        <f t="shared" si="7"/>
        <v>18.854819295512073</v>
      </c>
      <c r="G114">
        <v>4</v>
      </c>
      <c r="H114">
        <v>2015</v>
      </c>
      <c r="I114">
        <f t="shared" si="10"/>
        <v>1.3464808497467562E-3</v>
      </c>
      <c r="K114">
        <v>4</v>
      </c>
      <c r="L114">
        <v>2015</v>
      </c>
      <c r="M114">
        <f t="shared" si="11"/>
        <v>3.0905271709030346E-2</v>
      </c>
      <c r="O114" s="1">
        <v>39387</v>
      </c>
      <c r="P114" s="9">
        <v>11</v>
      </c>
      <c r="Q114" s="9">
        <v>2007</v>
      </c>
      <c r="R114" s="8">
        <f>I25</f>
        <v>-0.10815948475788439</v>
      </c>
      <c r="S114" s="8">
        <f>I25</f>
        <v>-0.10815948475788439</v>
      </c>
    </row>
    <row r="115" spans="1:19">
      <c r="A115" s="1">
        <v>42125</v>
      </c>
      <c r="B115">
        <v>19.899999999999999</v>
      </c>
      <c r="C115">
        <f>+CPI!C188</f>
        <v>1.0814758638881599</v>
      </c>
      <c r="D115">
        <f t="shared" si="7"/>
        <v>18.4007805116009</v>
      </c>
      <c r="G115">
        <v>5</v>
      </c>
      <c r="H115">
        <v>2015</v>
      </c>
      <c r="I115">
        <f t="shared" si="10"/>
        <v>-5.6731463340187194E-3</v>
      </c>
      <c r="K115">
        <v>5</v>
      </c>
      <c r="L115">
        <v>2015</v>
      </c>
      <c r="M115">
        <f t="shared" si="11"/>
        <v>2.8346032057654069E-2</v>
      </c>
      <c r="O115" s="1">
        <v>39753</v>
      </c>
      <c r="P115" s="9">
        <v>11</v>
      </c>
      <c r="Q115" s="9">
        <v>2008</v>
      </c>
      <c r="R115" s="8">
        <f>I37</f>
        <v>-5.8707414565662974E-2</v>
      </c>
      <c r="S115" s="8">
        <f>I37</f>
        <v>-5.8707414565662974E-2</v>
      </c>
    </row>
    <row r="116" spans="1:19">
      <c r="A116" s="1">
        <v>42156</v>
      </c>
      <c r="B116">
        <v>20.170000000000002</v>
      </c>
      <c r="C116">
        <f>+CPI!C189</f>
        <v>1.0805855974676901</v>
      </c>
      <c r="D116">
        <f t="shared" si="7"/>
        <v>18.665804955449715</v>
      </c>
      <c r="G116">
        <v>6</v>
      </c>
      <c r="H116">
        <v>2015</v>
      </c>
      <c r="I116">
        <f t="shared" si="10"/>
        <v>-5.8199772474700762E-3</v>
      </c>
      <c r="K116">
        <v>6</v>
      </c>
      <c r="L116">
        <v>2015</v>
      </c>
      <c r="M116">
        <f t="shared" si="11"/>
        <v>1.6457839158022347E-2</v>
      </c>
      <c r="O116" s="1">
        <v>40118</v>
      </c>
      <c r="P116" s="9">
        <v>11</v>
      </c>
      <c r="Q116" s="9">
        <v>2009</v>
      </c>
      <c r="R116" s="8">
        <f>I49</f>
        <v>-3.9103970861402382E-2</v>
      </c>
      <c r="S116" s="8">
        <f>I49</f>
        <v>-3.9103970861402382E-2</v>
      </c>
    </row>
    <row r="117" spans="1:19">
      <c r="A117" s="1">
        <v>42186</v>
      </c>
      <c r="B117">
        <v>22.29</v>
      </c>
      <c r="C117">
        <f>+CPI!C190</f>
        <v>1.0797942495383801</v>
      </c>
      <c r="D117">
        <f t="shared" si="7"/>
        <v>20.642821546353979</v>
      </c>
      <c r="G117">
        <v>7</v>
      </c>
      <c r="H117">
        <v>2015</v>
      </c>
      <c r="I117">
        <f t="shared" si="10"/>
        <v>3.0660331921881001E-2</v>
      </c>
      <c r="K117">
        <v>7</v>
      </c>
      <c r="L117">
        <v>2015</v>
      </c>
      <c r="M117">
        <f t="shared" si="11"/>
        <v>1.1579933897282846E-2</v>
      </c>
      <c r="O117" s="1">
        <v>40483</v>
      </c>
      <c r="P117" s="9">
        <v>11</v>
      </c>
      <c r="Q117" s="9">
        <v>2010</v>
      </c>
      <c r="R117" s="8">
        <f>I61</f>
        <v>2.0037965476227271E-4</v>
      </c>
      <c r="S117" s="8">
        <f>I61</f>
        <v>2.0037965476227271E-4</v>
      </c>
    </row>
    <row r="118" spans="1:19">
      <c r="A118" s="1">
        <v>42217</v>
      </c>
      <c r="B118">
        <v>20.68</v>
      </c>
      <c r="C118">
        <f>+CPI!C191</f>
        <v>1.0764310208388299</v>
      </c>
      <c r="D118">
        <f t="shared" si="7"/>
        <v>19.211635116093834</v>
      </c>
      <c r="G118">
        <v>8</v>
      </c>
      <c r="H118">
        <v>2015</v>
      </c>
      <c r="I118">
        <f t="shared" si="10"/>
        <v>1.4478143660501264E-2</v>
      </c>
      <c r="K118">
        <v>8</v>
      </c>
      <c r="L118">
        <v>2015</v>
      </c>
      <c r="M118">
        <f t="shared" si="11"/>
        <v>-2.3264442245825023E-3</v>
      </c>
      <c r="O118" s="1">
        <v>40848</v>
      </c>
      <c r="P118" s="9">
        <v>11</v>
      </c>
      <c r="Q118" s="9">
        <v>2011</v>
      </c>
      <c r="R118" s="8">
        <f>I73</f>
        <v>-0.1673252070355401</v>
      </c>
      <c r="S118" s="8">
        <f>I73</f>
        <v>-0.1673252070355401</v>
      </c>
    </row>
    <row r="119" spans="1:19">
      <c r="A119" s="1">
        <v>42248</v>
      </c>
      <c r="B119">
        <v>19.93</v>
      </c>
      <c r="C119">
        <f>+CPI!C192</f>
        <v>1.0723753627011401</v>
      </c>
      <c r="D119">
        <f t="shared" si="7"/>
        <v>18.584910371121875</v>
      </c>
      <c r="G119">
        <v>9</v>
      </c>
      <c r="H119">
        <v>2015</v>
      </c>
      <c r="I119">
        <f t="shared" si="10"/>
        <v>-1.4467047819498591E-3</v>
      </c>
      <c r="K119">
        <v>9</v>
      </c>
      <c r="L119">
        <v>2015</v>
      </c>
      <c r="M119">
        <f t="shared" si="11"/>
        <v>7.4142390948543913E-3</v>
      </c>
      <c r="O119" s="1">
        <v>41214</v>
      </c>
      <c r="P119" s="9">
        <v>11</v>
      </c>
      <c r="Q119" s="9">
        <v>2012</v>
      </c>
      <c r="R119" s="8">
        <f>I85</f>
        <v>-7.0248265924342967E-2</v>
      </c>
      <c r="S119" s="8">
        <f>I85</f>
        <v>-7.0248265924342967E-2</v>
      </c>
    </row>
    <row r="120" spans="1:19">
      <c r="A120" s="1">
        <v>42278</v>
      </c>
      <c r="B120">
        <v>19.14</v>
      </c>
      <c r="C120">
        <f>+CPI!C193</f>
        <v>1.09562120812451</v>
      </c>
      <c r="D120">
        <f t="shared" si="7"/>
        <v>17.469541350668038</v>
      </c>
      <c r="G120">
        <v>10</v>
      </c>
      <c r="H120">
        <v>2015</v>
      </c>
      <c r="I120">
        <f t="shared" si="10"/>
        <v>-5.4116866049562007E-2</v>
      </c>
      <c r="K120">
        <v>10</v>
      </c>
      <c r="L120">
        <v>2015</v>
      </c>
      <c r="M120">
        <f t="shared" si="11"/>
        <v>2.6283422462749506E-3</v>
      </c>
      <c r="O120" s="1">
        <v>41579</v>
      </c>
      <c r="P120" s="9">
        <v>11</v>
      </c>
      <c r="Q120" s="9">
        <v>2013</v>
      </c>
      <c r="R120" s="8">
        <f>I97</f>
        <v>-3.7146925049266422E-2</v>
      </c>
      <c r="S120" s="8">
        <f>I97</f>
        <v>-3.7146925049266422E-2</v>
      </c>
    </row>
    <row r="121" spans="1:19">
      <c r="A121" s="1">
        <v>42309</v>
      </c>
      <c r="B121">
        <v>18.79</v>
      </c>
      <c r="C121">
        <f>+CPI!C194</f>
        <v>1.09492877868637</v>
      </c>
      <c r="D121">
        <f t="shared" si="7"/>
        <v>17.160933538109315</v>
      </c>
      <c r="G121">
        <v>11</v>
      </c>
      <c r="H121">
        <v>2015</v>
      </c>
      <c r="I121">
        <f t="shared" si="10"/>
        <v>-3.6927770687202321E-2</v>
      </c>
      <c r="K121">
        <v>11</v>
      </c>
      <c r="L121">
        <v>2015</v>
      </c>
      <c r="M121">
        <f t="shared" si="11"/>
        <v>2.2138106884730391E-3</v>
      </c>
      <c r="O121" s="1">
        <v>41944</v>
      </c>
      <c r="P121" s="9">
        <v>11</v>
      </c>
      <c r="Q121" s="9">
        <v>2014</v>
      </c>
      <c r="R121" s="8">
        <f>I109</f>
        <v>-5.426127680212478E-2</v>
      </c>
      <c r="S121" s="8">
        <f>M109</f>
        <v>2.2538500354221114E-2</v>
      </c>
    </row>
    <row r="122" spans="1:19">
      <c r="A122" s="1">
        <v>42339</v>
      </c>
      <c r="B122">
        <v>18.350000000000001</v>
      </c>
      <c r="C122">
        <f>+CPI!C195</f>
        <v>1.0941374307570599</v>
      </c>
      <c r="D122">
        <f t="shared" si="7"/>
        <v>16.771202121568216</v>
      </c>
      <c r="G122">
        <v>12</v>
      </c>
      <c r="H122">
        <v>2015</v>
      </c>
      <c r="I122">
        <f t="shared" si="10"/>
        <v>-3.3649726301650418E-2</v>
      </c>
      <c r="K122">
        <v>12</v>
      </c>
      <c r="L122">
        <v>2015</v>
      </c>
      <c r="M122">
        <f t="shared" si="11"/>
        <v>2.2616842274243432E-3</v>
      </c>
      <c r="O122" s="1">
        <v>42309</v>
      </c>
      <c r="P122" s="9">
        <v>11</v>
      </c>
      <c r="Q122" s="9">
        <v>2015</v>
      </c>
      <c r="R122">
        <f>I121</f>
        <v>-3.6927770687202321E-2</v>
      </c>
      <c r="S122">
        <f>M121</f>
        <v>2.2138106884730391E-3</v>
      </c>
    </row>
    <row r="123" spans="1:19">
      <c r="A123" s="1">
        <v>42370</v>
      </c>
      <c r="B123">
        <v>18.8</v>
      </c>
      <c r="C123">
        <f>+CPI!C196</f>
        <v>1.0947309417040401</v>
      </c>
      <c r="D123">
        <f t="shared" si="7"/>
        <v>17.173169482846838</v>
      </c>
      <c r="G123">
        <v>1</v>
      </c>
      <c r="H123">
        <v>2016</v>
      </c>
      <c r="I123">
        <f t="shared" si="10"/>
        <v>-5.6873050858300411E-3</v>
      </c>
      <c r="K123">
        <v>1</v>
      </c>
      <c r="L123">
        <v>2016</v>
      </c>
      <c r="M123">
        <f t="shared" si="11"/>
        <v>-7.4209584652700222E-3</v>
      </c>
      <c r="O123" s="1">
        <v>42675</v>
      </c>
      <c r="P123" s="9">
        <v>11</v>
      </c>
      <c r="Q123" s="9">
        <v>2016</v>
      </c>
      <c r="R123">
        <f>I133</f>
        <v>-6.3228699927523335E-2</v>
      </c>
      <c r="S123">
        <f>M133</f>
        <v>-1.6889685497433304E-2</v>
      </c>
    </row>
    <row r="124" spans="1:19">
      <c r="A124" s="1">
        <v>42401</v>
      </c>
      <c r="B124">
        <v>19.09</v>
      </c>
      <c r="C124">
        <f>+CPI!C197</f>
        <v>1.0917633869691401</v>
      </c>
      <c r="D124">
        <f t="shared" si="7"/>
        <v>17.485473709643276</v>
      </c>
      <c r="G124">
        <v>2</v>
      </c>
      <c r="H124">
        <v>2016</v>
      </c>
      <c r="I124">
        <f t="shared" si="10"/>
        <v>6.2645299098442742E-3</v>
      </c>
      <c r="K124">
        <v>2</v>
      </c>
      <c r="L124">
        <v>2016</v>
      </c>
      <c r="M124">
        <f t="shared" si="11"/>
        <v>-5.6581420413862604E-3</v>
      </c>
      <c r="O124" s="1">
        <v>39052</v>
      </c>
      <c r="P124" s="9">
        <v>12</v>
      </c>
      <c r="Q124" s="9">
        <v>2006</v>
      </c>
      <c r="R124" s="8">
        <f>I14</f>
        <v>-2.8355757157335404E-2</v>
      </c>
      <c r="S124" s="8"/>
    </row>
    <row r="125" spans="1:19">
      <c r="A125" s="1">
        <v>42430</v>
      </c>
      <c r="B125">
        <v>19.89</v>
      </c>
      <c r="C125">
        <f>+CPI!C198</f>
        <v>1.0912999999999999</v>
      </c>
      <c r="D125">
        <f t="shared" si="7"/>
        <v>18.225969027765053</v>
      </c>
      <c r="G125">
        <v>3</v>
      </c>
      <c r="H125">
        <v>2016</v>
      </c>
      <c r="I125">
        <f t="shared" si="10"/>
        <v>2.8116064154753095E-2</v>
      </c>
      <c r="K125">
        <v>3</v>
      </c>
      <c r="L125">
        <v>2016</v>
      </c>
      <c r="M125">
        <f t="shared" si="11"/>
        <v>-3.4404620935316599E-3</v>
      </c>
      <c r="O125" s="1">
        <v>39417</v>
      </c>
      <c r="P125" s="9">
        <v>12</v>
      </c>
      <c r="Q125" s="9">
        <v>2007</v>
      </c>
      <c r="R125" s="8">
        <f>I26</f>
        <v>-8.7558143234197416E-2</v>
      </c>
      <c r="S125" s="8">
        <f>M26</f>
        <v>2.2984195815638042E-2</v>
      </c>
    </row>
    <row r="126" spans="1:19">
      <c r="A126" s="1">
        <v>42461</v>
      </c>
      <c r="B126">
        <v>19.809999999999999</v>
      </c>
      <c r="C126">
        <f>+CPI!C199</f>
        <v>1.0886</v>
      </c>
      <c r="D126">
        <f t="shared" si="7"/>
        <v>18.197685100128606</v>
      </c>
      <c r="G126">
        <v>4</v>
      </c>
      <c r="H126">
        <v>2016</v>
      </c>
      <c r="I126">
        <f t="shared" si="10"/>
        <v>1.9503129358762417E-2</v>
      </c>
      <c r="K126">
        <v>4</v>
      </c>
      <c r="L126">
        <v>2016</v>
      </c>
      <c r="M126">
        <f t="shared" si="11"/>
        <v>-2.9518142265267944E-3</v>
      </c>
      <c r="O126" s="1">
        <v>39783</v>
      </c>
      <c r="P126" s="9">
        <v>12</v>
      </c>
      <c r="Q126" s="9">
        <v>2008</v>
      </c>
      <c r="R126" s="8">
        <f>I38</f>
        <v>-3.6950381572475322E-2</v>
      </c>
      <c r="S126" s="8">
        <f>M38</f>
        <v>2.050739565737647E-4</v>
      </c>
    </row>
    <row r="127" spans="1:19">
      <c r="A127" s="1">
        <v>42491</v>
      </c>
      <c r="B127">
        <v>19.28</v>
      </c>
      <c r="C127">
        <f>+CPI!C200</f>
        <v>1.0893999999999999</v>
      </c>
      <c r="D127">
        <f t="shared" si="7"/>
        <v>17.69781531118047</v>
      </c>
      <c r="G127">
        <v>5</v>
      </c>
      <c r="H127">
        <v>2016</v>
      </c>
      <c r="I127">
        <f t="shared" si="10"/>
        <v>4.0316857070394896E-3</v>
      </c>
      <c r="K127">
        <v>5</v>
      </c>
      <c r="L127">
        <v>2016</v>
      </c>
      <c r="M127">
        <f t="shared" si="11"/>
        <v>-3.2407274375667594E-3</v>
      </c>
      <c r="O127" s="1">
        <v>40148</v>
      </c>
      <c r="P127" s="9">
        <v>12</v>
      </c>
      <c r="Q127" s="9">
        <v>2009</v>
      </c>
      <c r="R127" s="8">
        <f>I50</f>
        <v>-3.0206146513399812E-2</v>
      </c>
      <c r="S127" s="8">
        <f>M50</f>
        <v>-1.6533522597896533E-2</v>
      </c>
    </row>
    <row r="128" spans="1:19">
      <c r="A128" s="1">
        <v>42522</v>
      </c>
      <c r="B128">
        <v>19.03</v>
      </c>
      <c r="C128">
        <f>+CPI!C201</f>
        <v>1.0905</v>
      </c>
      <c r="D128">
        <f t="shared" si="7"/>
        <v>17.450710683172858</v>
      </c>
      <c r="G128">
        <v>6</v>
      </c>
      <c r="H128">
        <v>2016</v>
      </c>
      <c r="I128">
        <f t="shared" si="10"/>
        <v>-1.4384563238387993E-2</v>
      </c>
      <c r="K128">
        <v>6</v>
      </c>
      <c r="L128">
        <v>2016</v>
      </c>
      <c r="M128">
        <f t="shared" si="11"/>
        <v>-5.5937019331077087E-3</v>
      </c>
      <c r="O128" s="1">
        <v>40513</v>
      </c>
      <c r="P128" s="9">
        <v>12</v>
      </c>
      <c r="Q128" s="9">
        <v>2010</v>
      </c>
      <c r="R128" s="8">
        <f>I62</f>
        <v>-3.6746609732755786E-2</v>
      </c>
      <c r="S128" s="8">
        <f>M62</f>
        <v>1.2945240855523066E-2</v>
      </c>
    </row>
    <row r="129" spans="1:19">
      <c r="A129" s="1">
        <v>42552</v>
      </c>
      <c r="B129">
        <v>18.47</v>
      </c>
      <c r="C129">
        <f>+CPI!C202</f>
        <v>1.0893000000000002</v>
      </c>
      <c r="D129">
        <f t="shared" si="7"/>
        <v>16.955843202056364</v>
      </c>
      <c r="G129">
        <v>7</v>
      </c>
      <c r="H129">
        <v>2016</v>
      </c>
      <c r="I129">
        <f>(D129/D126)^(1/3)-1</f>
        <v>-2.3285244556562334E-2</v>
      </c>
      <c r="K129">
        <v>7</v>
      </c>
      <c r="L129">
        <v>2016</v>
      </c>
      <c r="M129">
        <f t="shared" si="11"/>
        <v>-1.6262573637179201E-2</v>
      </c>
      <c r="O129" s="1">
        <v>40878</v>
      </c>
      <c r="P129" s="9">
        <v>12</v>
      </c>
      <c r="Q129" s="9">
        <v>2011</v>
      </c>
      <c r="R129" s="8">
        <f>I74</f>
        <v>-9.7846548573682801E-2</v>
      </c>
      <c r="S129" s="8">
        <f>M74</f>
        <v>9.3752760128631429E-3</v>
      </c>
    </row>
    <row r="130" spans="1:19">
      <c r="A130" s="1">
        <v>42583</v>
      </c>
      <c r="B130">
        <v>18.489999999999998</v>
      </c>
      <c r="C130">
        <f>+CPI!C203</f>
        <v>1.0866</v>
      </c>
      <c r="D130">
        <f t="shared" si="7"/>
        <v>17.016381373090372</v>
      </c>
      <c r="G130">
        <v>8</v>
      </c>
      <c r="H130">
        <v>2016</v>
      </c>
      <c r="I130">
        <f t="shared" ref="I130:I136" si="12">(D130/D127)^(1/3)-1</f>
        <v>-1.3002959121990898E-2</v>
      </c>
      <c r="K130">
        <v>8</v>
      </c>
      <c r="L130">
        <v>2016</v>
      </c>
      <c r="M130">
        <f t="shared" si="11"/>
        <v>-1.006068271600391E-2</v>
      </c>
      <c r="O130" s="1">
        <v>41244</v>
      </c>
      <c r="P130" s="9">
        <v>12</v>
      </c>
      <c r="Q130" s="9">
        <v>2012</v>
      </c>
      <c r="R130" s="8">
        <f>I86</f>
        <v>-3.6977308109888751E-2</v>
      </c>
      <c r="S130" s="8">
        <f>M86</f>
        <v>-2.0999756980220941E-2</v>
      </c>
    </row>
    <row r="131" spans="1:19">
      <c r="A131" s="1">
        <v>42614</v>
      </c>
      <c r="B131">
        <v>18.34</v>
      </c>
      <c r="C131">
        <f>+CPI!C204</f>
        <v>1.0832999999999999</v>
      </c>
      <c r="D131">
        <f t="shared" si="7"/>
        <v>16.92975168466722</v>
      </c>
      <c r="G131">
        <v>9</v>
      </c>
      <c r="H131">
        <v>2016</v>
      </c>
      <c r="I131">
        <f t="shared" si="12"/>
        <v>-1.0051755262715067E-2</v>
      </c>
      <c r="K131">
        <v>9</v>
      </c>
      <c r="L131">
        <v>2016</v>
      </c>
      <c r="M131">
        <f t="shared" si="11"/>
        <v>-7.7429884394644155E-3</v>
      </c>
      <c r="O131" s="1">
        <v>41609</v>
      </c>
      <c r="P131" s="9">
        <v>12</v>
      </c>
      <c r="Q131" s="9">
        <v>2013</v>
      </c>
      <c r="R131" s="8">
        <f>I98</f>
        <v>-6.0801683939869844E-2</v>
      </c>
      <c r="S131" s="8">
        <f>M98</f>
        <v>-9.6961888239104344E-3</v>
      </c>
    </row>
    <row r="132" spans="1:19">
      <c r="A132" s="1">
        <v>42644</v>
      </c>
      <c r="B132">
        <v>16.489999999999998</v>
      </c>
      <c r="C132">
        <f>+CPI!C205</f>
        <v>1.0859999999999999</v>
      </c>
      <c r="D132">
        <f t="shared" ref="D132:D136" si="13">+B132/C132</f>
        <v>15.184162062615101</v>
      </c>
      <c r="G132">
        <v>10</v>
      </c>
      <c r="H132">
        <v>2016</v>
      </c>
      <c r="I132">
        <f t="shared" si="12"/>
        <v>-3.6118127083471174E-2</v>
      </c>
      <c r="K132">
        <v>10</v>
      </c>
      <c r="L132">
        <v>2016</v>
      </c>
      <c r="M132">
        <f t="shared" si="11"/>
        <v>-1.1615838718702309E-2</v>
      </c>
      <c r="O132" s="1">
        <v>41974</v>
      </c>
      <c r="P132" s="9">
        <v>12</v>
      </c>
      <c r="Q132" s="9">
        <v>2014</v>
      </c>
      <c r="R132" s="8">
        <f>I110</f>
        <v>-1.3624213999138268E-2</v>
      </c>
      <c r="S132" s="8">
        <f>M110</f>
        <v>2.6606855582173905E-2</v>
      </c>
    </row>
    <row r="133" spans="1:19">
      <c r="A133" s="1">
        <v>42675</v>
      </c>
      <c r="B133">
        <v>15.19</v>
      </c>
      <c r="C133">
        <f>+CPI!C206</f>
        <v>1.0859000000000001</v>
      </c>
      <c r="D133">
        <f t="shared" si="13"/>
        <v>13.988396721613407</v>
      </c>
      <c r="G133">
        <v>11</v>
      </c>
      <c r="H133">
        <v>2016</v>
      </c>
      <c r="I133">
        <f t="shared" si="12"/>
        <v>-6.3228699927523335E-2</v>
      </c>
      <c r="K133">
        <v>11</v>
      </c>
      <c r="L133">
        <v>2016</v>
      </c>
      <c r="M133">
        <f t="shared" si="11"/>
        <v>-1.6889685497433304E-2</v>
      </c>
      <c r="O133" s="1">
        <v>42339</v>
      </c>
      <c r="P133" s="9">
        <v>12</v>
      </c>
      <c r="Q133" s="9">
        <v>2015</v>
      </c>
      <c r="R133">
        <f>I122</f>
        <v>-3.3649726301650418E-2</v>
      </c>
      <c r="S133">
        <f>M122</f>
        <v>2.2616842274243432E-3</v>
      </c>
    </row>
    <row r="134" spans="1:19">
      <c r="A134" s="1">
        <v>42705</v>
      </c>
      <c r="B134">
        <v>14.17</v>
      </c>
      <c r="C134">
        <f>+CPI!C207</f>
        <v>1.0839000000000001</v>
      </c>
      <c r="D134">
        <f t="shared" si="13"/>
        <v>13.073161730786971</v>
      </c>
      <c r="G134">
        <v>12</v>
      </c>
      <c r="H134">
        <v>2016</v>
      </c>
      <c r="I134">
        <f t="shared" si="12"/>
        <v>-8.2562089967076369E-2</v>
      </c>
      <c r="K134">
        <v>12</v>
      </c>
      <c r="L134">
        <v>2016</v>
      </c>
      <c r="M134">
        <f t="shared" si="11"/>
        <v>-2.0544513271473774E-2</v>
      </c>
      <c r="O134" s="1">
        <v>42705</v>
      </c>
      <c r="P134" s="9">
        <v>12</v>
      </c>
      <c r="Q134" s="9">
        <v>2016</v>
      </c>
      <c r="R134">
        <f>I134</f>
        <v>-8.2562089967076369E-2</v>
      </c>
      <c r="S134">
        <f>M134</f>
        <v>-2.0544513271473774E-2</v>
      </c>
    </row>
    <row r="135" spans="1:19">
      <c r="A135" s="1">
        <v>42736</v>
      </c>
      <c r="B135">
        <v>13.01</v>
      </c>
      <c r="C135">
        <f>+CPI!C208</f>
        <v>1.0920000000000001</v>
      </c>
      <c r="D135">
        <f t="shared" si="13"/>
        <v>11.913919413919412</v>
      </c>
      <c r="G135">
        <v>1</v>
      </c>
      <c r="H135">
        <v>2017</v>
      </c>
      <c r="I135">
        <f t="shared" si="12"/>
        <v>-7.7666585583755943E-2</v>
      </c>
      <c r="K135">
        <v>1</v>
      </c>
      <c r="L135">
        <v>2017</v>
      </c>
      <c r="M135">
        <f t="shared" si="11"/>
        <v>-3.0010536331821047E-2</v>
      </c>
    </row>
    <row r="136" spans="1:19">
      <c r="A136" s="1">
        <v>42767</v>
      </c>
      <c r="B136">
        <v>12.46</v>
      </c>
      <c r="C136">
        <f>+CPI!C209</f>
        <v>1.0917727292757815</v>
      </c>
      <c r="D136">
        <f t="shared" si="13"/>
        <v>11.412631645658744</v>
      </c>
      <c r="G136">
        <v>2</v>
      </c>
      <c r="H136">
        <v>2017</v>
      </c>
      <c r="I136">
        <f t="shared" si="12"/>
        <v>-6.5586108038421687E-2</v>
      </c>
      <c r="K136">
        <v>2</v>
      </c>
      <c r="L136">
        <v>2017</v>
      </c>
      <c r="M136">
        <f t="shared" si="11"/>
        <v>-3.4929516214741163E-2</v>
      </c>
    </row>
    <row r="138" spans="1:19">
      <c r="A138" t="s">
        <v>157</v>
      </c>
    </row>
    <row r="139" spans="1:19">
      <c r="A139" t="s">
        <v>119</v>
      </c>
      <c r="B139" t="s">
        <v>158</v>
      </c>
    </row>
    <row r="140" spans="1:19">
      <c r="A140" t="s">
        <v>4</v>
      </c>
      <c r="B140" t="s">
        <v>159</v>
      </c>
    </row>
    <row r="141" spans="1:19">
      <c r="A141" t="s">
        <v>5</v>
      </c>
      <c r="B141" t="s">
        <v>160</v>
      </c>
    </row>
  </sheetData>
  <mergeCells count="2">
    <mergeCell ref="O1:S1"/>
    <mergeCell ref="A1:H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8"/>
  <sheetViews>
    <sheetView showGridLines="0" tabSelected="1" zoomScale="70" zoomScaleNormal="70" workbookViewId="0">
      <selection activeCell="G13" sqref="G13"/>
    </sheetView>
  </sheetViews>
  <sheetFormatPr defaultRowHeight="15"/>
  <cols>
    <col min="1" max="1" width="15.140625" bestFit="1" customWidth="1"/>
    <col min="2" max="12" width="11.85546875" bestFit="1" customWidth="1"/>
    <col min="15" max="16" width="11.85546875" bestFit="1" customWidth="1"/>
    <col min="17" max="17" width="12" bestFit="1" customWidth="1"/>
    <col min="24" max="24" width="12" bestFit="1" customWidth="1"/>
  </cols>
  <sheetData>
    <row r="1" spans="1:24">
      <c r="A1" s="25" t="s">
        <v>149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O2">
        <v>2007</v>
      </c>
      <c r="P2">
        <v>2008</v>
      </c>
      <c r="Q2">
        <v>2009</v>
      </c>
      <c r="R2">
        <v>2010</v>
      </c>
      <c r="S2">
        <v>2011</v>
      </c>
      <c r="T2">
        <v>2012</v>
      </c>
      <c r="U2">
        <v>2013</v>
      </c>
      <c r="V2">
        <v>2014</v>
      </c>
      <c r="W2">
        <v>2015</v>
      </c>
      <c r="X2">
        <v>2016</v>
      </c>
    </row>
    <row r="3" spans="1:24">
      <c r="A3">
        <v>2006</v>
      </c>
      <c r="B3">
        <v>1</v>
      </c>
      <c r="C3">
        <f t="shared" ref="B3:H11" si="0">IF(D4&gt;0,D4-1,0)</f>
        <v>1</v>
      </c>
      <c r="D3">
        <f t="shared" si="0"/>
        <v>1</v>
      </c>
      <c r="E3">
        <f t="shared" si="0"/>
        <v>1</v>
      </c>
      <c r="F3">
        <f t="shared" si="0"/>
        <v>1</v>
      </c>
      <c r="G3">
        <f t="shared" si="0"/>
        <v>1</v>
      </c>
      <c r="H3">
        <f t="shared" si="0"/>
        <v>1</v>
      </c>
      <c r="I3">
        <f t="shared" ref="I3:I8" si="1">IF(J4&gt;0,J4-1,0)</f>
        <v>1</v>
      </c>
      <c r="J3">
        <v>1</v>
      </c>
      <c r="K3">
        <v>1</v>
      </c>
      <c r="L3">
        <v>1</v>
      </c>
      <c r="N3">
        <v>2007</v>
      </c>
      <c r="O3">
        <v>1</v>
      </c>
      <c r="P3">
        <f t="shared" ref="O3:T10" si="2">IF(Q4&gt;0,Q4-1,0)</f>
        <v>1</v>
      </c>
      <c r="Q3">
        <f t="shared" si="2"/>
        <v>1</v>
      </c>
      <c r="R3">
        <f t="shared" si="2"/>
        <v>1</v>
      </c>
      <c r="S3">
        <f t="shared" si="2"/>
        <v>1</v>
      </c>
      <c r="T3">
        <f t="shared" si="2"/>
        <v>1</v>
      </c>
      <c r="U3">
        <f t="shared" ref="U3:U10" si="3">IF(V4&gt;0,V4-1,0)</f>
        <v>1</v>
      </c>
      <c r="V3">
        <v>1</v>
      </c>
      <c r="W3">
        <v>1</v>
      </c>
      <c r="X3">
        <v>1</v>
      </c>
    </row>
    <row r="4" spans="1:24">
      <c r="A4">
        <v>2007</v>
      </c>
      <c r="B4">
        <f t="shared" si="0"/>
        <v>0</v>
      </c>
      <c r="C4">
        <f t="shared" si="0"/>
        <v>0</v>
      </c>
      <c r="D4">
        <f t="shared" si="0"/>
        <v>2</v>
      </c>
      <c r="E4">
        <f t="shared" si="0"/>
        <v>2</v>
      </c>
      <c r="F4">
        <f t="shared" si="0"/>
        <v>2</v>
      </c>
      <c r="G4">
        <f t="shared" si="0"/>
        <v>2</v>
      </c>
      <c r="H4">
        <f t="shared" si="0"/>
        <v>2</v>
      </c>
      <c r="I4">
        <f t="shared" si="1"/>
        <v>2</v>
      </c>
      <c r="J4">
        <v>2</v>
      </c>
      <c r="K4">
        <v>2</v>
      </c>
      <c r="L4">
        <v>2</v>
      </c>
      <c r="N4">
        <v>2008</v>
      </c>
      <c r="O4">
        <f t="shared" si="2"/>
        <v>0</v>
      </c>
      <c r="P4">
        <f t="shared" si="2"/>
        <v>0</v>
      </c>
      <c r="Q4">
        <f t="shared" si="2"/>
        <v>2</v>
      </c>
      <c r="R4">
        <f t="shared" si="2"/>
        <v>2</v>
      </c>
      <c r="S4">
        <f t="shared" si="2"/>
        <v>2</v>
      </c>
      <c r="T4">
        <f t="shared" si="2"/>
        <v>2</v>
      </c>
      <c r="U4">
        <f t="shared" si="3"/>
        <v>2</v>
      </c>
      <c r="V4">
        <v>2</v>
      </c>
      <c r="W4">
        <v>2</v>
      </c>
      <c r="X4">
        <v>2</v>
      </c>
    </row>
    <row r="5" spans="1:24">
      <c r="A5">
        <v>2008</v>
      </c>
      <c r="B5">
        <f t="shared" si="0"/>
        <v>0</v>
      </c>
      <c r="C5">
        <f t="shared" si="0"/>
        <v>0</v>
      </c>
      <c r="D5">
        <f t="shared" si="0"/>
        <v>0</v>
      </c>
      <c r="E5">
        <f t="shared" si="0"/>
        <v>3</v>
      </c>
      <c r="F5">
        <f t="shared" si="0"/>
        <v>3</v>
      </c>
      <c r="G5">
        <f t="shared" si="0"/>
        <v>3</v>
      </c>
      <c r="H5">
        <f t="shared" si="0"/>
        <v>3</v>
      </c>
      <c r="I5">
        <f t="shared" si="1"/>
        <v>3</v>
      </c>
      <c r="J5">
        <v>3</v>
      </c>
      <c r="K5">
        <v>3</v>
      </c>
      <c r="L5">
        <v>3</v>
      </c>
      <c r="N5">
        <v>2009</v>
      </c>
      <c r="O5">
        <f t="shared" si="2"/>
        <v>0</v>
      </c>
      <c r="P5">
        <f t="shared" si="2"/>
        <v>0</v>
      </c>
      <c r="Q5">
        <f t="shared" si="2"/>
        <v>0</v>
      </c>
      <c r="R5">
        <f t="shared" si="2"/>
        <v>3</v>
      </c>
      <c r="S5">
        <f t="shared" si="2"/>
        <v>3</v>
      </c>
      <c r="T5">
        <f t="shared" si="2"/>
        <v>3</v>
      </c>
      <c r="U5">
        <f t="shared" si="3"/>
        <v>3</v>
      </c>
      <c r="V5">
        <v>3</v>
      </c>
      <c r="W5">
        <v>3</v>
      </c>
      <c r="X5">
        <v>3</v>
      </c>
    </row>
    <row r="6" spans="1:24">
      <c r="A6">
        <v>2009</v>
      </c>
      <c r="B6">
        <f t="shared" si="0"/>
        <v>0</v>
      </c>
      <c r="C6">
        <f t="shared" si="0"/>
        <v>0</v>
      </c>
      <c r="D6">
        <f t="shared" si="0"/>
        <v>0</v>
      </c>
      <c r="E6">
        <f t="shared" si="0"/>
        <v>0</v>
      </c>
      <c r="F6">
        <f t="shared" si="0"/>
        <v>4</v>
      </c>
      <c r="G6">
        <f t="shared" si="0"/>
        <v>4</v>
      </c>
      <c r="H6">
        <f t="shared" si="0"/>
        <v>4</v>
      </c>
      <c r="I6">
        <f t="shared" si="1"/>
        <v>4</v>
      </c>
      <c r="J6">
        <v>4</v>
      </c>
      <c r="K6">
        <v>4</v>
      </c>
      <c r="L6">
        <v>4</v>
      </c>
      <c r="N6">
        <v>2010</v>
      </c>
      <c r="O6">
        <f t="shared" si="2"/>
        <v>0</v>
      </c>
      <c r="P6">
        <f t="shared" si="2"/>
        <v>0</v>
      </c>
      <c r="Q6">
        <f t="shared" si="2"/>
        <v>0</v>
      </c>
      <c r="R6">
        <f t="shared" si="2"/>
        <v>0</v>
      </c>
      <c r="S6">
        <f t="shared" si="2"/>
        <v>4</v>
      </c>
      <c r="T6">
        <f t="shared" si="2"/>
        <v>4</v>
      </c>
      <c r="U6">
        <f t="shared" si="3"/>
        <v>4</v>
      </c>
      <c r="V6">
        <v>4</v>
      </c>
      <c r="W6">
        <v>4</v>
      </c>
      <c r="X6">
        <v>4</v>
      </c>
    </row>
    <row r="7" spans="1:24">
      <c r="A7">
        <v>2010</v>
      </c>
      <c r="B7">
        <f t="shared" si="0"/>
        <v>0</v>
      </c>
      <c r="C7">
        <f t="shared" si="0"/>
        <v>0</v>
      </c>
      <c r="D7">
        <f t="shared" si="0"/>
        <v>0</v>
      </c>
      <c r="E7">
        <f t="shared" si="0"/>
        <v>0</v>
      </c>
      <c r="F7">
        <f t="shared" si="0"/>
        <v>0</v>
      </c>
      <c r="G7">
        <f t="shared" si="0"/>
        <v>5</v>
      </c>
      <c r="H7">
        <f t="shared" si="0"/>
        <v>5</v>
      </c>
      <c r="I7">
        <f t="shared" si="1"/>
        <v>5</v>
      </c>
      <c r="J7">
        <v>5</v>
      </c>
      <c r="K7">
        <v>5</v>
      </c>
      <c r="L7">
        <v>5</v>
      </c>
      <c r="N7">
        <v>2011</v>
      </c>
      <c r="O7">
        <f t="shared" si="2"/>
        <v>0</v>
      </c>
      <c r="P7">
        <f t="shared" si="2"/>
        <v>0</v>
      </c>
      <c r="Q7">
        <f t="shared" si="2"/>
        <v>0</v>
      </c>
      <c r="R7">
        <f t="shared" si="2"/>
        <v>0</v>
      </c>
      <c r="S7">
        <f t="shared" si="2"/>
        <v>0</v>
      </c>
      <c r="T7">
        <f t="shared" si="2"/>
        <v>5</v>
      </c>
      <c r="U7">
        <f t="shared" si="3"/>
        <v>5</v>
      </c>
      <c r="V7">
        <v>5</v>
      </c>
      <c r="W7">
        <v>5</v>
      </c>
      <c r="X7">
        <v>5</v>
      </c>
    </row>
    <row r="8" spans="1:24">
      <c r="A8">
        <v>2011</v>
      </c>
      <c r="B8">
        <f t="shared" si="0"/>
        <v>0</v>
      </c>
      <c r="C8">
        <f t="shared" si="0"/>
        <v>0</v>
      </c>
      <c r="D8">
        <f t="shared" si="0"/>
        <v>0</v>
      </c>
      <c r="E8">
        <f t="shared" si="0"/>
        <v>0</v>
      </c>
      <c r="F8">
        <f t="shared" si="0"/>
        <v>0</v>
      </c>
      <c r="G8">
        <f t="shared" si="0"/>
        <v>0</v>
      </c>
      <c r="H8">
        <f t="shared" si="0"/>
        <v>6</v>
      </c>
      <c r="I8">
        <f t="shared" si="1"/>
        <v>6</v>
      </c>
      <c r="J8">
        <v>6</v>
      </c>
      <c r="K8">
        <v>6</v>
      </c>
      <c r="L8">
        <v>6</v>
      </c>
      <c r="N8">
        <v>2012</v>
      </c>
      <c r="O8">
        <f t="shared" si="2"/>
        <v>0</v>
      </c>
      <c r="P8">
        <f t="shared" si="2"/>
        <v>0</v>
      </c>
      <c r="Q8">
        <f t="shared" si="2"/>
        <v>0</v>
      </c>
      <c r="R8">
        <f t="shared" si="2"/>
        <v>0</v>
      </c>
      <c r="S8">
        <f t="shared" si="2"/>
        <v>0</v>
      </c>
      <c r="T8">
        <f t="shared" si="2"/>
        <v>0</v>
      </c>
      <c r="U8">
        <f t="shared" si="3"/>
        <v>6</v>
      </c>
      <c r="V8">
        <v>6</v>
      </c>
      <c r="W8">
        <v>6</v>
      </c>
      <c r="X8">
        <v>6</v>
      </c>
    </row>
    <row r="9" spans="1:24">
      <c r="A9">
        <v>2012</v>
      </c>
      <c r="B9">
        <f t="shared" si="0"/>
        <v>0</v>
      </c>
      <c r="C9">
        <f t="shared" si="0"/>
        <v>0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>IF(J10&gt;0,J10-1,0)</f>
        <v>7</v>
      </c>
      <c r="J9">
        <v>7</v>
      </c>
      <c r="K9">
        <v>7</v>
      </c>
      <c r="L9">
        <v>7</v>
      </c>
      <c r="N9">
        <v>2013</v>
      </c>
      <c r="O9">
        <f t="shared" si="2"/>
        <v>0</v>
      </c>
      <c r="P9">
        <f t="shared" si="2"/>
        <v>0</v>
      </c>
      <c r="Q9">
        <f t="shared" si="2"/>
        <v>0</v>
      </c>
      <c r="R9">
        <f t="shared" si="2"/>
        <v>0</v>
      </c>
      <c r="S9">
        <f t="shared" si="2"/>
        <v>0</v>
      </c>
      <c r="T9">
        <f t="shared" si="2"/>
        <v>0</v>
      </c>
      <c r="U9">
        <f t="shared" si="3"/>
        <v>0</v>
      </c>
      <c r="V9">
        <v>7</v>
      </c>
      <c r="W9">
        <v>7</v>
      </c>
      <c r="X9">
        <v>7</v>
      </c>
    </row>
    <row r="10" spans="1:24">
      <c r="A10">
        <v>2013</v>
      </c>
      <c r="B10">
        <f t="shared" si="0"/>
        <v>0</v>
      </c>
      <c r="C10">
        <f t="shared" si="0"/>
        <v>0</v>
      </c>
      <c r="D10">
        <f t="shared" si="0"/>
        <v>0</v>
      </c>
      <c r="E10">
        <f t="shared" si="0"/>
        <v>0</v>
      </c>
      <c r="F10">
        <f t="shared" si="0"/>
        <v>0</v>
      </c>
      <c r="G10">
        <f t="shared" si="0"/>
        <v>0</v>
      </c>
      <c r="H10">
        <f t="shared" si="0"/>
        <v>0</v>
      </c>
      <c r="I10">
        <f t="shared" ref="I10:I11" si="4">IF(J11&gt;0,J11-1,0)</f>
        <v>0</v>
      </c>
      <c r="J10">
        <v>8</v>
      </c>
      <c r="K10">
        <v>8</v>
      </c>
      <c r="L10">
        <v>8</v>
      </c>
      <c r="N10">
        <v>2014</v>
      </c>
      <c r="O10">
        <f t="shared" si="2"/>
        <v>0</v>
      </c>
      <c r="P10">
        <f t="shared" si="2"/>
        <v>0</v>
      </c>
      <c r="Q10">
        <f t="shared" si="2"/>
        <v>0</v>
      </c>
      <c r="R10">
        <f t="shared" si="2"/>
        <v>0</v>
      </c>
      <c r="S10">
        <f t="shared" si="2"/>
        <v>0</v>
      </c>
      <c r="T10">
        <f t="shared" si="2"/>
        <v>0</v>
      </c>
      <c r="U10">
        <f t="shared" si="3"/>
        <v>0</v>
      </c>
      <c r="V10">
        <v>0</v>
      </c>
      <c r="W10">
        <v>8</v>
      </c>
      <c r="X10">
        <v>8</v>
      </c>
    </row>
    <row r="11" spans="1:24">
      <c r="A11">
        <v>2014</v>
      </c>
      <c r="B11">
        <f t="shared" si="0"/>
        <v>0</v>
      </c>
      <c r="C11">
        <f t="shared" si="0"/>
        <v>0</v>
      </c>
      <c r="D11">
        <f t="shared" si="0"/>
        <v>0</v>
      </c>
      <c r="E11">
        <f t="shared" si="0"/>
        <v>0</v>
      </c>
      <c r="F11">
        <f t="shared" si="0"/>
        <v>0</v>
      </c>
      <c r="G11">
        <f t="shared" si="0"/>
        <v>0</v>
      </c>
      <c r="H11">
        <f t="shared" si="0"/>
        <v>0</v>
      </c>
      <c r="I11">
        <f t="shared" si="4"/>
        <v>0</v>
      </c>
      <c r="J11">
        <v>0</v>
      </c>
      <c r="K11">
        <v>9</v>
      </c>
      <c r="L11">
        <v>9</v>
      </c>
      <c r="N11">
        <v>2015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9</v>
      </c>
    </row>
    <row r="12" spans="1:24">
      <c r="A12">
        <v>2015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10</v>
      </c>
      <c r="N12">
        <v>2016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</row>
    <row r="13" spans="1:24">
      <c r="A13">
        <v>2016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24">
      <c r="B14">
        <f>SUM(B3:B11)</f>
        <v>1</v>
      </c>
      <c r="C14">
        <f t="shared" ref="C14:K14" si="5">SUM(C3:C11)</f>
        <v>1</v>
      </c>
      <c r="D14">
        <f t="shared" si="5"/>
        <v>3</v>
      </c>
      <c r="E14">
        <f t="shared" si="5"/>
        <v>6</v>
      </c>
      <c r="F14">
        <f t="shared" si="5"/>
        <v>10</v>
      </c>
      <c r="G14">
        <f t="shared" si="5"/>
        <v>15</v>
      </c>
      <c r="H14">
        <f t="shared" si="5"/>
        <v>21</v>
      </c>
      <c r="I14">
        <f t="shared" si="5"/>
        <v>28</v>
      </c>
      <c r="J14">
        <f t="shared" si="5"/>
        <v>36</v>
      </c>
      <c r="K14">
        <f t="shared" si="5"/>
        <v>45</v>
      </c>
      <c r="L14">
        <f>SUM(L3:L13)</f>
        <v>55</v>
      </c>
      <c r="O14">
        <f>SUM(O3:O10)</f>
        <v>1</v>
      </c>
      <c r="P14">
        <f t="shared" ref="P14:W14" si="6">SUM(P3:P10)</f>
        <v>1</v>
      </c>
      <c r="Q14">
        <f t="shared" si="6"/>
        <v>3</v>
      </c>
      <c r="R14">
        <f t="shared" si="6"/>
        <v>6</v>
      </c>
      <c r="S14">
        <f t="shared" si="6"/>
        <v>10</v>
      </c>
      <c r="T14">
        <f t="shared" si="6"/>
        <v>15</v>
      </c>
      <c r="U14">
        <f t="shared" si="6"/>
        <v>21</v>
      </c>
      <c r="V14">
        <f t="shared" si="6"/>
        <v>28</v>
      </c>
      <c r="W14">
        <f t="shared" si="6"/>
        <v>36</v>
      </c>
      <c r="X14">
        <f>SUM(X3:X11)</f>
        <v>45</v>
      </c>
    </row>
    <row r="16" spans="1:24">
      <c r="B16" t="s">
        <v>26</v>
      </c>
      <c r="C16" t="s">
        <v>27</v>
      </c>
      <c r="D16" t="s">
        <v>28</v>
      </c>
      <c r="E16" t="s">
        <v>29</v>
      </c>
      <c r="F16" t="s">
        <v>30</v>
      </c>
      <c r="G16" t="s">
        <v>31</v>
      </c>
      <c r="H16" t="s">
        <v>32</v>
      </c>
      <c r="I16" t="s">
        <v>25</v>
      </c>
      <c r="J16" t="s">
        <v>24</v>
      </c>
      <c r="K16" t="s">
        <v>120</v>
      </c>
      <c r="L16" t="s">
        <v>134</v>
      </c>
      <c r="O16" t="s">
        <v>67</v>
      </c>
      <c r="P16" t="s">
        <v>68</v>
      </c>
      <c r="Q16" t="s">
        <v>69</v>
      </c>
      <c r="R16" t="s">
        <v>70</v>
      </c>
      <c r="S16" t="s">
        <v>71</v>
      </c>
      <c r="T16" t="s">
        <v>72</v>
      </c>
      <c r="U16" t="s">
        <v>73</v>
      </c>
      <c r="V16" t="s">
        <v>74</v>
      </c>
      <c r="W16" t="s">
        <v>126</v>
      </c>
      <c r="X16" t="s">
        <v>137</v>
      </c>
    </row>
    <row r="17" spans="1:24">
      <c r="B17">
        <v>0</v>
      </c>
      <c r="C17">
        <v>1</v>
      </c>
      <c r="D17">
        <v>2</v>
      </c>
      <c r="E17">
        <v>3</v>
      </c>
      <c r="F17">
        <v>4</v>
      </c>
      <c r="G17">
        <v>5</v>
      </c>
      <c r="H17">
        <v>6</v>
      </c>
      <c r="I17">
        <v>7</v>
      </c>
      <c r="J17">
        <v>8</v>
      </c>
      <c r="K17">
        <v>9</v>
      </c>
      <c r="L17">
        <v>10</v>
      </c>
      <c r="O17">
        <v>0</v>
      </c>
      <c r="P17">
        <v>1</v>
      </c>
      <c r="Q17">
        <v>2</v>
      </c>
      <c r="R17">
        <v>3</v>
      </c>
      <c r="S17">
        <v>4</v>
      </c>
      <c r="T17">
        <v>5</v>
      </c>
      <c r="U17">
        <v>6</v>
      </c>
      <c r="V17">
        <v>7</v>
      </c>
      <c r="W17">
        <v>8</v>
      </c>
      <c r="X17">
        <v>9</v>
      </c>
    </row>
    <row r="19" spans="1:24">
      <c r="A19" t="s">
        <v>3</v>
      </c>
      <c r="B19" t="s">
        <v>9</v>
      </c>
      <c r="C19" t="s">
        <v>10</v>
      </c>
      <c r="D19" t="s">
        <v>11</v>
      </c>
      <c r="E19" t="s">
        <v>12</v>
      </c>
      <c r="F19" t="s">
        <v>13</v>
      </c>
      <c r="G19" t="s">
        <v>14</v>
      </c>
      <c r="H19" t="s">
        <v>15</v>
      </c>
      <c r="I19" t="s">
        <v>8</v>
      </c>
      <c r="J19" t="s">
        <v>7</v>
      </c>
      <c r="K19" t="s">
        <v>121</v>
      </c>
      <c r="L19" t="s">
        <v>135</v>
      </c>
      <c r="O19" t="s">
        <v>16</v>
      </c>
      <c r="P19" t="s">
        <v>17</v>
      </c>
      <c r="Q19" t="s">
        <v>18</v>
      </c>
      <c r="R19" t="s">
        <v>19</v>
      </c>
      <c r="S19" t="s">
        <v>20</v>
      </c>
      <c r="T19" t="s">
        <v>21</v>
      </c>
      <c r="U19" t="s">
        <v>22</v>
      </c>
      <c r="V19" t="s">
        <v>23</v>
      </c>
      <c r="W19" t="s">
        <v>127</v>
      </c>
      <c r="X19" t="s">
        <v>138</v>
      </c>
    </row>
    <row r="20" spans="1:24">
      <c r="A20">
        <v>2006</v>
      </c>
      <c r="B20" s="7">
        <v>0</v>
      </c>
      <c r="C20" s="7">
        <f t="shared" ref="C20:J20" si="7">C3/C$14</f>
        <v>1</v>
      </c>
      <c r="D20" s="7">
        <f t="shared" si="7"/>
        <v>0.33333333333333331</v>
      </c>
      <c r="E20" s="7">
        <f t="shared" si="7"/>
        <v>0.16666666666666666</v>
      </c>
      <c r="F20" s="7">
        <f t="shared" si="7"/>
        <v>0.1</v>
      </c>
      <c r="G20" s="7">
        <f t="shared" si="7"/>
        <v>6.6666666666666666E-2</v>
      </c>
      <c r="H20" s="7">
        <f t="shared" si="7"/>
        <v>4.7619047619047616E-2</v>
      </c>
      <c r="I20" s="7">
        <f t="shared" si="7"/>
        <v>3.5714285714285712E-2</v>
      </c>
      <c r="J20" s="7">
        <f t="shared" si="7"/>
        <v>2.7777777777777776E-2</v>
      </c>
      <c r="K20" s="7">
        <f>K3/$K$14</f>
        <v>2.2222222222222223E-2</v>
      </c>
      <c r="L20" s="10">
        <f>L3/$L$14</f>
        <v>1.8181818181818181E-2</v>
      </c>
      <c r="N20">
        <v>2007</v>
      </c>
      <c r="O20">
        <v>0</v>
      </c>
      <c r="P20">
        <f t="shared" ref="P20:V20" si="8">P3/P$14</f>
        <v>1</v>
      </c>
      <c r="Q20">
        <f t="shared" si="8"/>
        <v>0.33333333333333331</v>
      </c>
      <c r="R20">
        <f t="shared" si="8"/>
        <v>0.16666666666666666</v>
      </c>
      <c r="S20">
        <f t="shared" si="8"/>
        <v>0.1</v>
      </c>
      <c r="T20">
        <f t="shared" si="8"/>
        <v>6.6666666666666666E-2</v>
      </c>
      <c r="U20">
        <f t="shared" si="8"/>
        <v>4.7619047619047616E-2</v>
      </c>
      <c r="V20">
        <f t="shared" si="8"/>
        <v>3.5714285714285712E-2</v>
      </c>
      <c r="W20">
        <f>W3/$W$14</f>
        <v>2.7777777777777776E-2</v>
      </c>
      <c r="X20">
        <f>X3/$X$14</f>
        <v>2.2222222222222223E-2</v>
      </c>
    </row>
    <row r="21" spans="1:24">
      <c r="A21">
        <v>2007</v>
      </c>
      <c r="B21" s="7">
        <f t="shared" ref="B21:J21" si="9">B4/B$14</f>
        <v>0</v>
      </c>
      <c r="C21" s="7">
        <f t="shared" si="9"/>
        <v>0</v>
      </c>
      <c r="D21" s="7">
        <f t="shared" si="9"/>
        <v>0.66666666666666663</v>
      </c>
      <c r="E21" s="7">
        <f t="shared" si="9"/>
        <v>0.33333333333333331</v>
      </c>
      <c r="F21" s="7">
        <f t="shared" si="9"/>
        <v>0.2</v>
      </c>
      <c r="G21" s="7">
        <f t="shared" si="9"/>
        <v>0.13333333333333333</v>
      </c>
      <c r="H21" s="7">
        <f t="shared" si="9"/>
        <v>9.5238095238095233E-2</v>
      </c>
      <c r="I21" s="7">
        <f t="shared" si="9"/>
        <v>7.1428571428571425E-2</v>
      </c>
      <c r="J21" s="7">
        <f t="shared" si="9"/>
        <v>5.5555555555555552E-2</v>
      </c>
      <c r="K21" s="7">
        <f t="shared" ref="K21:K28" si="10">K4/$K$14</f>
        <v>4.4444444444444446E-2</v>
      </c>
      <c r="L21" s="10">
        <f t="shared" ref="L21:L29" si="11">L4/$L$14</f>
        <v>3.6363636363636362E-2</v>
      </c>
      <c r="N21">
        <v>2008</v>
      </c>
      <c r="O21">
        <f t="shared" ref="O21:V21" si="12">O4/O$14</f>
        <v>0</v>
      </c>
      <c r="P21">
        <f t="shared" si="12"/>
        <v>0</v>
      </c>
      <c r="Q21">
        <f t="shared" si="12"/>
        <v>0.66666666666666663</v>
      </c>
      <c r="R21">
        <f t="shared" si="12"/>
        <v>0.33333333333333331</v>
      </c>
      <c r="S21">
        <f t="shared" si="12"/>
        <v>0.2</v>
      </c>
      <c r="T21">
        <f t="shared" si="12"/>
        <v>0.13333333333333333</v>
      </c>
      <c r="U21">
        <f t="shared" si="12"/>
        <v>9.5238095238095233E-2</v>
      </c>
      <c r="V21">
        <f t="shared" si="12"/>
        <v>7.1428571428571425E-2</v>
      </c>
      <c r="W21">
        <f t="shared" ref="W21:W27" si="13">W4/$W$14</f>
        <v>5.5555555555555552E-2</v>
      </c>
      <c r="X21">
        <f t="shared" ref="X21:X28" si="14">X4/$X$14</f>
        <v>4.4444444444444446E-2</v>
      </c>
    </row>
    <row r="22" spans="1:24">
      <c r="A22">
        <v>2008</v>
      </c>
      <c r="B22" s="7">
        <f t="shared" ref="B22:J22" si="15">B5/B$14</f>
        <v>0</v>
      </c>
      <c r="C22" s="7">
        <f t="shared" si="15"/>
        <v>0</v>
      </c>
      <c r="D22" s="7">
        <f t="shared" si="15"/>
        <v>0</v>
      </c>
      <c r="E22" s="7">
        <f t="shared" si="15"/>
        <v>0.5</v>
      </c>
      <c r="F22" s="7">
        <f t="shared" si="15"/>
        <v>0.3</v>
      </c>
      <c r="G22" s="7">
        <f t="shared" si="15"/>
        <v>0.2</v>
      </c>
      <c r="H22" s="7">
        <f t="shared" si="15"/>
        <v>0.14285714285714285</v>
      </c>
      <c r="I22" s="7">
        <f t="shared" si="15"/>
        <v>0.10714285714285714</v>
      </c>
      <c r="J22" s="7">
        <f t="shared" si="15"/>
        <v>8.3333333333333329E-2</v>
      </c>
      <c r="K22" s="7">
        <f t="shared" si="10"/>
        <v>6.6666666666666666E-2</v>
      </c>
      <c r="L22" s="10">
        <f t="shared" si="11"/>
        <v>5.4545454545454543E-2</v>
      </c>
      <c r="N22">
        <v>2009</v>
      </c>
      <c r="O22">
        <f t="shared" ref="O22:V22" si="16">O5/O$14</f>
        <v>0</v>
      </c>
      <c r="P22">
        <f t="shared" si="16"/>
        <v>0</v>
      </c>
      <c r="Q22">
        <f t="shared" si="16"/>
        <v>0</v>
      </c>
      <c r="R22">
        <f t="shared" si="16"/>
        <v>0.5</v>
      </c>
      <c r="S22">
        <f t="shared" si="16"/>
        <v>0.3</v>
      </c>
      <c r="T22">
        <f t="shared" si="16"/>
        <v>0.2</v>
      </c>
      <c r="U22">
        <f t="shared" si="16"/>
        <v>0.14285714285714285</v>
      </c>
      <c r="V22">
        <f t="shared" si="16"/>
        <v>0.10714285714285714</v>
      </c>
      <c r="W22">
        <f t="shared" si="13"/>
        <v>8.3333333333333329E-2</v>
      </c>
      <c r="X22">
        <f t="shared" si="14"/>
        <v>6.6666666666666666E-2</v>
      </c>
    </row>
    <row r="23" spans="1:24">
      <c r="A23">
        <v>2009</v>
      </c>
      <c r="B23" s="7">
        <f t="shared" ref="B23:J23" si="17">B6/B$14</f>
        <v>0</v>
      </c>
      <c r="C23" s="7">
        <f t="shared" si="17"/>
        <v>0</v>
      </c>
      <c r="D23" s="7">
        <f t="shared" si="17"/>
        <v>0</v>
      </c>
      <c r="E23" s="7">
        <f t="shared" si="17"/>
        <v>0</v>
      </c>
      <c r="F23" s="7">
        <f t="shared" si="17"/>
        <v>0.4</v>
      </c>
      <c r="G23" s="7">
        <f t="shared" si="17"/>
        <v>0.26666666666666666</v>
      </c>
      <c r="H23" s="7">
        <f t="shared" si="17"/>
        <v>0.19047619047619047</v>
      </c>
      <c r="I23" s="7">
        <f t="shared" si="17"/>
        <v>0.14285714285714285</v>
      </c>
      <c r="J23" s="7">
        <f t="shared" si="17"/>
        <v>0.1111111111111111</v>
      </c>
      <c r="K23" s="7">
        <f t="shared" si="10"/>
        <v>8.8888888888888892E-2</v>
      </c>
      <c r="L23" s="10">
        <f t="shared" si="11"/>
        <v>7.2727272727272724E-2</v>
      </c>
      <c r="N23">
        <v>2010</v>
      </c>
      <c r="O23">
        <f t="shared" ref="O23:V23" si="18">O6/O$14</f>
        <v>0</v>
      </c>
      <c r="P23">
        <f t="shared" si="18"/>
        <v>0</v>
      </c>
      <c r="Q23">
        <f t="shared" si="18"/>
        <v>0</v>
      </c>
      <c r="R23">
        <f t="shared" si="18"/>
        <v>0</v>
      </c>
      <c r="S23">
        <f t="shared" si="18"/>
        <v>0.4</v>
      </c>
      <c r="T23">
        <f t="shared" si="18"/>
        <v>0.26666666666666666</v>
      </c>
      <c r="U23">
        <f t="shared" si="18"/>
        <v>0.19047619047619047</v>
      </c>
      <c r="V23">
        <f t="shared" si="18"/>
        <v>0.14285714285714285</v>
      </c>
      <c r="W23">
        <f t="shared" si="13"/>
        <v>0.1111111111111111</v>
      </c>
      <c r="X23">
        <f t="shared" si="14"/>
        <v>8.8888888888888892E-2</v>
      </c>
    </row>
    <row r="24" spans="1:24">
      <c r="A24">
        <v>2010</v>
      </c>
      <c r="B24" s="7">
        <f t="shared" ref="B24:J24" si="19">B7/B$14</f>
        <v>0</v>
      </c>
      <c r="C24" s="7">
        <f t="shared" si="19"/>
        <v>0</v>
      </c>
      <c r="D24" s="7">
        <f t="shared" si="19"/>
        <v>0</v>
      </c>
      <c r="E24" s="7">
        <f t="shared" si="19"/>
        <v>0</v>
      </c>
      <c r="F24" s="7">
        <f t="shared" si="19"/>
        <v>0</v>
      </c>
      <c r="G24" s="7">
        <f t="shared" si="19"/>
        <v>0.33333333333333331</v>
      </c>
      <c r="H24" s="7">
        <f t="shared" si="19"/>
        <v>0.23809523809523808</v>
      </c>
      <c r="I24" s="7">
        <f t="shared" si="19"/>
        <v>0.17857142857142858</v>
      </c>
      <c r="J24" s="7">
        <f t="shared" si="19"/>
        <v>0.1388888888888889</v>
      </c>
      <c r="K24" s="7">
        <f t="shared" si="10"/>
        <v>0.1111111111111111</v>
      </c>
      <c r="L24" s="10">
        <f t="shared" si="11"/>
        <v>9.0909090909090912E-2</v>
      </c>
      <c r="N24">
        <v>2011</v>
      </c>
      <c r="O24">
        <f t="shared" ref="O24:V24" si="20">O7/O$14</f>
        <v>0</v>
      </c>
      <c r="P24">
        <f t="shared" si="20"/>
        <v>0</v>
      </c>
      <c r="Q24">
        <f t="shared" si="20"/>
        <v>0</v>
      </c>
      <c r="R24">
        <f t="shared" si="20"/>
        <v>0</v>
      </c>
      <c r="S24">
        <f t="shared" si="20"/>
        <v>0</v>
      </c>
      <c r="T24">
        <f t="shared" si="20"/>
        <v>0.33333333333333331</v>
      </c>
      <c r="U24">
        <f t="shared" si="20"/>
        <v>0.23809523809523808</v>
      </c>
      <c r="V24">
        <f t="shared" si="20"/>
        <v>0.17857142857142858</v>
      </c>
      <c r="W24">
        <f t="shared" si="13"/>
        <v>0.1388888888888889</v>
      </c>
      <c r="X24">
        <f t="shared" si="14"/>
        <v>0.1111111111111111</v>
      </c>
    </row>
    <row r="25" spans="1:24">
      <c r="A25">
        <v>2011</v>
      </c>
      <c r="B25" s="7">
        <f t="shared" ref="B25:J25" si="21">B8/B$14</f>
        <v>0</v>
      </c>
      <c r="C25" s="7">
        <f t="shared" si="21"/>
        <v>0</v>
      </c>
      <c r="D25" s="7">
        <f t="shared" si="21"/>
        <v>0</v>
      </c>
      <c r="E25" s="7">
        <f t="shared" si="21"/>
        <v>0</v>
      </c>
      <c r="F25" s="7">
        <f t="shared" si="21"/>
        <v>0</v>
      </c>
      <c r="G25" s="7">
        <f t="shared" si="21"/>
        <v>0</v>
      </c>
      <c r="H25" s="7">
        <f t="shared" si="21"/>
        <v>0.2857142857142857</v>
      </c>
      <c r="I25" s="7">
        <f t="shared" si="21"/>
        <v>0.21428571428571427</v>
      </c>
      <c r="J25" s="7">
        <f t="shared" si="21"/>
        <v>0.16666666666666666</v>
      </c>
      <c r="K25" s="7">
        <f t="shared" si="10"/>
        <v>0.13333333333333333</v>
      </c>
      <c r="L25" s="10">
        <f t="shared" si="11"/>
        <v>0.10909090909090909</v>
      </c>
      <c r="N25">
        <v>2012</v>
      </c>
      <c r="O25">
        <f t="shared" ref="O25:V25" si="22">O8/O$14</f>
        <v>0</v>
      </c>
      <c r="P25">
        <f t="shared" si="22"/>
        <v>0</v>
      </c>
      <c r="Q25">
        <f t="shared" si="22"/>
        <v>0</v>
      </c>
      <c r="R25">
        <f t="shared" si="22"/>
        <v>0</v>
      </c>
      <c r="S25">
        <f t="shared" si="22"/>
        <v>0</v>
      </c>
      <c r="T25">
        <f t="shared" si="22"/>
        <v>0</v>
      </c>
      <c r="U25">
        <f t="shared" si="22"/>
        <v>0.2857142857142857</v>
      </c>
      <c r="V25">
        <f t="shared" si="22"/>
        <v>0.21428571428571427</v>
      </c>
      <c r="W25">
        <f t="shared" si="13"/>
        <v>0.16666666666666666</v>
      </c>
      <c r="X25">
        <f t="shared" si="14"/>
        <v>0.13333333333333333</v>
      </c>
    </row>
    <row r="26" spans="1:24">
      <c r="A26">
        <v>2012</v>
      </c>
      <c r="B26" s="7">
        <f t="shared" ref="B26:J26" si="23">B9/B$14</f>
        <v>0</v>
      </c>
      <c r="C26" s="7">
        <f t="shared" si="23"/>
        <v>0</v>
      </c>
      <c r="D26" s="7">
        <f t="shared" si="23"/>
        <v>0</v>
      </c>
      <c r="E26" s="7">
        <f t="shared" si="23"/>
        <v>0</v>
      </c>
      <c r="F26" s="7">
        <f t="shared" si="23"/>
        <v>0</v>
      </c>
      <c r="G26" s="7">
        <f t="shared" si="23"/>
        <v>0</v>
      </c>
      <c r="H26" s="7">
        <f t="shared" si="23"/>
        <v>0</v>
      </c>
      <c r="I26" s="7">
        <f t="shared" si="23"/>
        <v>0.25</v>
      </c>
      <c r="J26" s="7">
        <f t="shared" si="23"/>
        <v>0.19444444444444445</v>
      </c>
      <c r="K26" s="7">
        <f t="shared" si="10"/>
        <v>0.15555555555555556</v>
      </c>
      <c r="L26" s="10">
        <f t="shared" si="11"/>
        <v>0.12727272727272726</v>
      </c>
      <c r="N26">
        <v>2013</v>
      </c>
      <c r="O26">
        <f t="shared" ref="O26:V26" si="24">O9/O$14</f>
        <v>0</v>
      </c>
      <c r="P26">
        <f t="shared" si="24"/>
        <v>0</v>
      </c>
      <c r="Q26">
        <f t="shared" si="24"/>
        <v>0</v>
      </c>
      <c r="R26">
        <f t="shared" si="24"/>
        <v>0</v>
      </c>
      <c r="S26">
        <f t="shared" si="24"/>
        <v>0</v>
      </c>
      <c r="T26">
        <f t="shared" si="24"/>
        <v>0</v>
      </c>
      <c r="U26">
        <f t="shared" si="24"/>
        <v>0</v>
      </c>
      <c r="V26">
        <f t="shared" si="24"/>
        <v>0.25</v>
      </c>
      <c r="W26">
        <f t="shared" si="13"/>
        <v>0.19444444444444445</v>
      </c>
      <c r="X26">
        <f t="shared" si="14"/>
        <v>0.15555555555555556</v>
      </c>
    </row>
    <row r="27" spans="1:24">
      <c r="A27">
        <v>2013</v>
      </c>
      <c r="B27" s="7">
        <f t="shared" ref="B27:J27" si="25">B10/B$14</f>
        <v>0</v>
      </c>
      <c r="C27" s="7">
        <f t="shared" si="25"/>
        <v>0</v>
      </c>
      <c r="D27" s="7">
        <f t="shared" si="25"/>
        <v>0</v>
      </c>
      <c r="E27" s="7">
        <f t="shared" si="25"/>
        <v>0</v>
      </c>
      <c r="F27" s="7">
        <f t="shared" si="25"/>
        <v>0</v>
      </c>
      <c r="G27" s="7">
        <f t="shared" si="25"/>
        <v>0</v>
      </c>
      <c r="H27" s="7">
        <f t="shared" si="25"/>
        <v>0</v>
      </c>
      <c r="I27" s="7">
        <f t="shared" si="25"/>
        <v>0</v>
      </c>
      <c r="J27" s="7">
        <f t="shared" si="25"/>
        <v>0.22222222222222221</v>
      </c>
      <c r="K27" s="7">
        <f t="shared" si="10"/>
        <v>0.17777777777777778</v>
      </c>
      <c r="L27" s="10">
        <f t="shared" si="11"/>
        <v>0.14545454545454545</v>
      </c>
      <c r="N27">
        <v>2014</v>
      </c>
      <c r="O27">
        <f t="shared" ref="O27:V27" si="26">O10/O$14</f>
        <v>0</v>
      </c>
      <c r="P27">
        <f t="shared" si="26"/>
        <v>0</v>
      </c>
      <c r="Q27">
        <f t="shared" si="26"/>
        <v>0</v>
      </c>
      <c r="R27">
        <f t="shared" si="26"/>
        <v>0</v>
      </c>
      <c r="S27">
        <f t="shared" si="26"/>
        <v>0</v>
      </c>
      <c r="T27">
        <f t="shared" si="26"/>
        <v>0</v>
      </c>
      <c r="U27">
        <f t="shared" si="26"/>
        <v>0</v>
      </c>
      <c r="V27">
        <f t="shared" si="26"/>
        <v>0</v>
      </c>
      <c r="W27">
        <f t="shared" si="13"/>
        <v>0.22222222222222221</v>
      </c>
      <c r="X27">
        <f t="shared" si="14"/>
        <v>0.17777777777777778</v>
      </c>
    </row>
    <row r="28" spans="1:24">
      <c r="A28">
        <v>2014</v>
      </c>
      <c r="B28" s="7">
        <f t="shared" ref="B28:J28" si="27">B11/B$14</f>
        <v>0</v>
      </c>
      <c r="C28" s="7">
        <f t="shared" si="27"/>
        <v>0</v>
      </c>
      <c r="D28" s="7">
        <f t="shared" si="27"/>
        <v>0</v>
      </c>
      <c r="E28" s="7">
        <f t="shared" si="27"/>
        <v>0</v>
      </c>
      <c r="F28" s="7">
        <f t="shared" si="27"/>
        <v>0</v>
      </c>
      <c r="G28" s="7">
        <f t="shared" si="27"/>
        <v>0</v>
      </c>
      <c r="H28" s="7">
        <f t="shared" si="27"/>
        <v>0</v>
      </c>
      <c r="I28" s="7">
        <f t="shared" si="27"/>
        <v>0</v>
      </c>
      <c r="J28" s="7">
        <f t="shared" si="27"/>
        <v>0</v>
      </c>
      <c r="K28" s="7">
        <f t="shared" si="10"/>
        <v>0.2</v>
      </c>
      <c r="L28" s="10">
        <f t="shared" si="11"/>
        <v>0.16363636363636364</v>
      </c>
      <c r="N28">
        <v>2015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f t="shared" si="14"/>
        <v>0.2</v>
      </c>
    </row>
    <row r="29" spans="1:24">
      <c r="A29">
        <v>2015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10">
        <f t="shared" si="11"/>
        <v>0.18181818181818182</v>
      </c>
      <c r="N29">
        <v>2016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</row>
    <row r="30" spans="1:24">
      <c r="A30">
        <v>2016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10">
        <v>0</v>
      </c>
    </row>
    <row r="32" spans="1:24">
      <c r="A32" t="s">
        <v>136</v>
      </c>
      <c r="B32">
        <f t="shared" ref="B32:K32" si="28">SUM(B20:B28)</f>
        <v>0</v>
      </c>
      <c r="C32">
        <f t="shared" si="28"/>
        <v>1</v>
      </c>
      <c r="D32">
        <f t="shared" si="28"/>
        <v>1</v>
      </c>
      <c r="E32">
        <f t="shared" si="28"/>
        <v>1</v>
      </c>
      <c r="F32">
        <f t="shared" si="28"/>
        <v>1</v>
      </c>
      <c r="G32">
        <f t="shared" si="28"/>
        <v>1</v>
      </c>
      <c r="H32">
        <f t="shared" si="28"/>
        <v>0.99999999999999989</v>
      </c>
      <c r="I32">
        <f t="shared" si="28"/>
        <v>1</v>
      </c>
      <c r="J32">
        <f t="shared" si="28"/>
        <v>1</v>
      </c>
      <c r="K32">
        <f t="shared" si="28"/>
        <v>1</v>
      </c>
      <c r="L32">
        <f>SUM(L20:L29)</f>
        <v>1</v>
      </c>
      <c r="O32">
        <f t="shared" ref="O32:W32" si="29">SUM(O20:O27)</f>
        <v>0</v>
      </c>
      <c r="P32">
        <f t="shared" si="29"/>
        <v>1</v>
      </c>
      <c r="Q32">
        <f t="shared" si="29"/>
        <v>1</v>
      </c>
      <c r="R32">
        <f t="shared" si="29"/>
        <v>1</v>
      </c>
      <c r="S32">
        <f t="shared" si="29"/>
        <v>1</v>
      </c>
      <c r="T32">
        <f t="shared" si="29"/>
        <v>1</v>
      </c>
      <c r="U32">
        <f t="shared" si="29"/>
        <v>0.99999999999999989</v>
      </c>
      <c r="V32">
        <f t="shared" si="29"/>
        <v>1</v>
      </c>
      <c r="W32">
        <f t="shared" si="29"/>
        <v>1</v>
      </c>
      <c r="X32">
        <f>SUM(X20:X28)</f>
        <v>1</v>
      </c>
    </row>
    <row r="34" spans="1:2">
      <c r="A34" t="s">
        <v>157</v>
      </c>
    </row>
    <row r="35" spans="1:2">
      <c r="A35" t="s">
        <v>161</v>
      </c>
      <c r="B35" t="s">
        <v>165</v>
      </c>
    </row>
    <row r="36" spans="1:2">
      <c r="A36" t="s">
        <v>162</v>
      </c>
      <c r="B36" t="s">
        <v>163</v>
      </c>
    </row>
    <row r="37" spans="1:2">
      <c r="A37" t="s">
        <v>164</v>
      </c>
      <c r="B37" t="s">
        <v>166</v>
      </c>
    </row>
    <row r="38" spans="1:2">
      <c r="A38" t="s">
        <v>167</v>
      </c>
      <c r="B38" t="s">
        <v>168</v>
      </c>
    </row>
  </sheetData>
  <mergeCells count="1">
    <mergeCell ref="A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09"/>
  <sheetViews>
    <sheetView showGridLines="0" topLeftCell="B10" zoomScale="110" zoomScaleNormal="110" workbookViewId="0">
      <selection activeCell="AE49" sqref="AE49"/>
    </sheetView>
  </sheetViews>
  <sheetFormatPr defaultRowHeight="15"/>
  <cols>
    <col min="2" max="2" width="10.5703125" bestFit="1" customWidth="1"/>
    <col min="3" max="3" width="13" bestFit="1" customWidth="1"/>
    <col min="4" max="4" width="13.42578125" bestFit="1" customWidth="1"/>
    <col min="5" max="5" width="13" bestFit="1" customWidth="1"/>
    <col min="6" max="6" width="17.7109375" bestFit="1" customWidth="1"/>
    <col min="7" max="7" width="27.5703125" bestFit="1" customWidth="1"/>
    <col min="8" max="8" width="11.42578125" bestFit="1" customWidth="1"/>
    <col min="9" max="12" width="13" bestFit="1" customWidth="1"/>
    <col min="13" max="15" width="11" customWidth="1"/>
    <col min="18" max="18" width="10.28515625" bestFit="1" customWidth="1"/>
    <col min="19" max="19" width="11.28515625" bestFit="1" customWidth="1"/>
    <col min="20" max="24" width="12" bestFit="1" customWidth="1"/>
    <col min="25" max="27" width="13" bestFit="1" customWidth="1"/>
    <col min="28" max="28" width="11" customWidth="1"/>
    <col min="29" max="29" width="22.28515625" bestFit="1" customWidth="1"/>
    <col min="30" max="30" width="8.5703125" bestFit="1" customWidth="1"/>
    <col min="31" max="35" width="9" bestFit="1" customWidth="1"/>
    <col min="36" max="36" width="8.28515625" customWidth="1"/>
    <col min="37" max="37" width="8.5703125" bestFit="1" customWidth="1"/>
    <col min="42" max="42" width="11.85546875" bestFit="1" customWidth="1"/>
    <col min="46" max="46" width="14.42578125" bestFit="1" customWidth="1"/>
  </cols>
  <sheetData>
    <row r="1" spans="1:48">
      <c r="B1" s="25" t="s">
        <v>169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7"/>
      <c r="N1" s="17"/>
      <c r="O1" s="17"/>
      <c r="R1" s="25" t="s">
        <v>175</v>
      </c>
      <c r="S1" s="25"/>
      <c r="T1" s="25"/>
      <c r="U1" s="25"/>
      <c r="V1" s="25"/>
      <c r="W1" s="25"/>
      <c r="X1" s="25"/>
      <c r="Y1" s="25"/>
      <c r="Z1" s="25"/>
      <c r="AA1" s="25"/>
      <c r="AP1" t="s">
        <v>151</v>
      </c>
      <c r="AQ1" t="s">
        <v>154</v>
      </c>
      <c r="AR1" t="s">
        <v>155</v>
      </c>
      <c r="AS1" t="s">
        <v>150</v>
      </c>
      <c r="AT1" t="s">
        <v>153</v>
      </c>
      <c r="AU1" t="s">
        <v>156</v>
      </c>
      <c r="AV1" t="s">
        <v>75</v>
      </c>
    </row>
    <row r="2" spans="1:48">
      <c r="A2" t="s">
        <v>2</v>
      </c>
      <c r="B2" t="s">
        <v>33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122</v>
      </c>
      <c r="L2" t="s">
        <v>139</v>
      </c>
      <c r="Q2" t="s">
        <v>2</v>
      </c>
      <c r="R2" t="s">
        <v>51</v>
      </c>
      <c r="S2" t="s">
        <v>52</v>
      </c>
      <c r="T2" t="s">
        <v>53</v>
      </c>
      <c r="U2" t="s">
        <v>54</v>
      </c>
      <c r="V2" t="s">
        <v>55</v>
      </c>
      <c r="W2" t="s">
        <v>56</v>
      </c>
      <c r="X2" t="s">
        <v>57</v>
      </c>
      <c r="Y2" t="s">
        <v>58</v>
      </c>
      <c r="Z2" t="s">
        <v>128</v>
      </c>
      <c r="AA2" t="s">
        <v>140</v>
      </c>
      <c r="AO2" s="1">
        <v>39448</v>
      </c>
      <c r="AP2">
        <f>'Maize Price IPA-STEP 1'!D27</f>
        <v>16.303454459991318</v>
      </c>
      <c r="AQ2" t="str">
        <f t="shared" ref="AQ2:AQ33" si="0">IF(AV2&gt;=1,AV2,"")</f>
        <v/>
      </c>
      <c r="AR2" t="str">
        <f>IF(AND(AV2&gt;=0.5,AV2&lt;1),AV2,"")</f>
        <v/>
      </c>
      <c r="AS2" t="str">
        <f>IF(AND(AV2&lt;=0.5,AV2&gt;=-0.5),AV2,"")</f>
        <v/>
      </c>
      <c r="AT2">
        <f>IF(AV2&lt;=-1,AV2,"")</f>
        <v>-4.8937450807285945</v>
      </c>
      <c r="AU2" t="str">
        <f>IF(AND(AV2&gt;-1,AV2&lt;-0.5),AV2,"")</f>
        <v/>
      </c>
      <c r="AV2" s="8">
        <f t="shared" ref="AV2:AV13" si="1">AE45</f>
        <v>-4.8937450807285945</v>
      </c>
    </row>
    <row r="3" spans="1:48">
      <c r="A3">
        <v>1</v>
      </c>
      <c r="D3" s="11">
        <f>SUMPRODUCT(QTYJAN,QW_2008)/SUM(QW_2008)</f>
        <v>-3.9497454462547044E-3</v>
      </c>
      <c r="E3" s="11">
        <f>SUMPRODUCT(QTYJAN,QW_2009)/SUM(QW_2009)</f>
        <v>-2.8111054630928611E-2</v>
      </c>
      <c r="F3" s="11">
        <f>SUMPRODUCT(QTYJAN,QW_2010)/SUM(QW_2010)</f>
        <v>-3.5000377405358538E-2</v>
      </c>
      <c r="G3" s="11">
        <f>SUMPRODUCT(QTYJAN,QW_2011)/SUM(QW_2011)</f>
        <v>-3.2034570755801364E-2</v>
      </c>
      <c r="H3" s="11">
        <f>SUMPRODUCT(QTYJAN,QW_2012)/SUM(QW_2012)</f>
        <v>2.1061164618176522E-3</v>
      </c>
      <c r="I3" s="11">
        <f>SUMPRODUCT(QTYJAN,QW_2013)/SUM(QW_2013)</f>
        <v>-1.4471298332143803E-2</v>
      </c>
      <c r="J3" s="11">
        <f>SUMPRODUCT(QTYJAN,QW_2014)/SUM(QW_2014)</f>
        <v>-1.6017399082007163E-2</v>
      </c>
      <c r="K3" s="11">
        <f>SUMPRODUCT(QTYJAN,QW_2015)/SUM(QW_2015)</f>
        <v>-2.0582463572482099E-2</v>
      </c>
      <c r="L3" s="11">
        <f>SUMPRODUCT(QTYJAN,QW_2016)/SUM(QW_2016)</f>
        <v>-1.0440966207785514E-2</v>
      </c>
      <c r="M3" s="11"/>
      <c r="N3" s="11"/>
      <c r="O3" s="11"/>
      <c r="Q3">
        <v>1</v>
      </c>
      <c r="S3" s="11">
        <f>SUMPRODUCT(ANJAN,AN_2008)/SUM(AN_2008)</f>
        <v>4.3380159224108983E-3</v>
      </c>
      <c r="T3" s="11">
        <f>SUMPRODUCT(ANJAN,AN_2009)/SUM(AN_2009)</f>
        <v>1.5334337751377047E-2</v>
      </c>
      <c r="U3" s="11">
        <f>SUMPRODUCT(ANJAN,AN_2010)/SUM(AN_2010)</f>
        <v>3.0474556378465301E-3</v>
      </c>
      <c r="V3" s="11">
        <f>SUMPRODUCT(ANJAN,AN_2011)/SUM(AN_2011)</f>
        <v>-2.7003101565816201E-3</v>
      </c>
      <c r="W3" s="11">
        <f>SUMPRODUCT(ANJAN,AN_2012)/SUM(AN_2012)</f>
        <v>1.0358370408336943E-2</v>
      </c>
      <c r="X3" s="11">
        <f>SUMPRODUCT(ANJAN,AN_2013)/SUM(AN_2013)</f>
        <v>4.1452322323576379E-3</v>
      </c>
      <c r="Y3" s="11">
        <f>SUMPRODUCT(ANJAN,AN_2014)/SUM(AN_2014)</f>
        <v>-3.2037515908391562E-3</v>
      </c>
      <c r="Z3" s="11">
        <f>SUMPRODUCT(ANJAN,AN_2015)/SUM(AN_2015)</f>
        <v>-4.2784051100746012E-3</v>
      </c>
      <c r="AA3" s="11">
        <f>SUMPRODUCT(ANJAN,AN_2016)/SUM(AN_2016)</f>
        <v>5.0982676117627083E-3</v>
      </c>
      <c r="AB3" s="11"/>
      <c r="AO3" s="1">
        <v>39479</v>
      </c>
      <c r="AP3">
        <f>'Maize Price IPA-STEP 1'!D28</f>
        <v>16.403196518930155</v>
      </c>
      <c r="AQ3" t="str">
        <f t="shared" si="0"/>
        <v/>
      </c>
      <c r="AR3" t="str">
        <f t="shared" ref="AR3:AR66" si="2">IF(AND(AV3&gt;=0.5,AV3&lt;1),AV3,"")</f>
        <v/>
      </c>
      <c r="AS3">
        <f t="shared" ref="AS3:AS66" si="3">IF(AND(AV3&lt;=0.5,AV3&gt;=-0.5),AV3,"")</f>
        <v>-5.1516252118047237E-2</v>
      </c>
      <c r="AT3" t="str">
        <f t="shared" ref="AT3:AT66" si="4">IF(AV3&lt;=-1,AV3,"")</f>
        <v/>
      </c>
      <c r="AU3" t="str">
        <f t="shared" ref="AU3:AU66" si="5">IF(AND(AV3&gt;-1,AV3&lt;-0.5),AV3,"")</f>
        <v/>
      </c>
      <c r="AV3" s="8">
        <f t="shared" si="1"/>
        <v>-5.1516252118047237E-2</v>
      </c>
    </row>
    <row r="4" spans="1:48">
      <c r="A4">
        <v>2</v>
      </c>
      <c r="D4" s="11">
        <f>SUMPRODUCT(QTYFEB,QW_2008)/SUM(QW_2008)</f>
        <v>1.8067351641038194E-2</v>
      </c>
      <c r="E4" s="11">
        <f>SUMPRODUCT(QTYFEB,QW_2009)/SUM(QW_2009)</f>
        <v>1.6903898838231769E-2</v>
      </c>
      <c r="F4" s="11">
        <f>SUMPRODUCT(QTYFEB,QW_2010)/SUM(QW_2010)</f>
        <v>4.825849559723738E-3</v>
      </c>
      <c r="G4" s="11">
        <f>SUMPRODUCT(QTYFEB,QW_2011)/SUM(QW_2011)</f>
        <v>-5.2290087030710591E-3</v>
      </c>
      <c r="H4" s="11">
        <f>SUMPRODUCT(QTYFEB,QW_2012)/SUM(QW_2012)</f>
        <v>3.3767467440681716E-2</v>
      </c>
      <c r="I4" s="11">
        <f>SUMPRODUCT(QTYFEB,QW_2013)/SUM(QW_2013)</f>
        <v>2.1786110077123191E-2</v>
      </c>
      <c r="J4" s="11">
        <f>SUMPRODUCT(QTYFEB,QW_2014)/SUM(QW_2014)</f>
        <v>1.1533791058387881E-2</v>
      </c>
      <c r="K4" s="11">
        <f>SUMPRODUCT(QTYFEB,QW_2015)/SUM(QW_2015)</f>
        <v>4.4499901668758942E-3</v>
      </c>
      <c r="L4" s="11">
        <f>SUMPRODUCT(QTYFEB,QW_2016)/SUM(QW_2016)</f>
        <v>1.0642774153360301E-2</v>
      </c>
      <c r="M4" s="11"/>
      <c r="N4" s="11"/>
      <c r="O4" s="11"/>
      <c r="Q4">
        <v>2</v>
      </c>
      <c r="S4" s="11">
        <f>SUMPRODUCT(ANFEB,AN_2008)/SUM(AN_2008)</f>
        <v>1.5601842235764218E-2</v>
      </c>
      <c r="T4" s="11">
        <f>SUMPRODUCT(ANFEB,AN_2009)/SUM(AN_2009)</f>
        <v>1.3365435968080226E-2</v>
      </c>
      <c r="U4" s="11">
        <f>SUMPRODUCT(ANFEB,AN_2010)/SUM(AN_2010)</f>
        <v>2.1536459717381527E-3</v>
      </c>
      <c r="V4" s="11">
        <f>SUMPRODUCT(ANFEB,AN_2011)/SUM(AN_2011)</f>
        <v>-2.6012312201677211E-3</v>
      </c>
      <c r="W4" s="11">
        <f>SUMPRODUCT(ANFEB,AN_2012)/SUM(AN_2012)</f>
        <v>1.2501367885668566E-2</v>
      </c>
      <c r="X4" s="11">
        <f>SUMPRODUCT(ANFEB,AN_2013)/SUM(AN_2013)</f>
        <v>2.5245455930163929E-3</v>
      </c>
      <c r="Y4" s="11">
        <f>SUMPRODUCT(ANFEB,AN_2014)/SUM(AN_2014)</f>
        <v>-3.9725260508858351E-3</v>
      </c>
      <c r="Z4" s="11">
        <f>SUMPRODUCT(ANFEB,AN_2015)/SUM(AN_2015)</f>
        <v>-3.8225935119425283E-3</v>
      </c>
      <c r="AA4" s="11">
        <f>SUMPRODUCT(ANFEB,AN_2016)/SUM(AN_2016)</f>
        <v>4.6422348149673266E-3</v>
      </c>
      <c r="AO4" s="1">
        <v>39508</v>
      </c>
      <c r="AP4">
        <f>'Maize Price IPA-STEP 1'!D29</f>
        <v>17.593848365796113</v>
      </c>
      <c r="AQ4" t="str">
        <f t="shared" si="0"/>
        <v/>
      </c>
      <c r="AR4" t="str">
        <f t="shared" si="2"/>
        <v/>
      </c>
      <c r="AS4">
        <f t="shared" si="3"/>
        <v>-0.18796447745824921</v>
      </c>
      <c r="AT4" t="str">
        <f t="shared" si="4"/>
        <v/>
      </c>
      <c r="AU4" t="str">
        <f t="shared" si="5"/>
        <v/>
      </c>
      <c r="AV4" s="8">
        <f t="shared" si="1"/>
        <v>-0.18796447745824921</v>
      </c>
    </row>
    <row r="5" spans="1:48">
      <c r="A5">
        <v>3</v>
      </c>
      <c r="D5" s="11">
        <f>SUMPRODUCT(QTYMAR,QW_2008)/SUM(QW_2008)</f>
        <v>5.5655526996511995E-2</v>
      </c>
      <c r="E5" s="11">
        <f>SUMPRODUCT(QTYMAR,QW_2009)/SUM(QW_2009)</f>
        <v>4.2578949434558422E-2</v>
      </c>
      <c r="F5" s="11">
        <f>SUMPRODUCT(QTYMAR,QW_2010)/SUM(QW_2010)</f>
        <v>2.8556819925352857E-2</v>
      </c>
      <c r="G5" s="11">
        <f>SUMPRODUCT(QTYMAR,QW_2011)/SUM(QW_2011)</f>
        <v>1.9067315714324923E-2</v>
      </c>
      <c r="H5" s="11">
        <f>SUMPRODUCT(QTYMAR,QW_2012)/SUM(QW_2012)</f>
        <v>5.2124063583676314E-2</v>
      </c>
      <c r="I5" s="11">
        <f>SUMPRODUCT(QTYMAR,QW_2013)/SUM(QW_2013)</f>
        <v>3.9189358450075096E-2</v>
      </c>
      <c r="J5" s="11">
        <f>SUMPRODUCT(QTYMAR,QW_2014)/SUM(QW_2014)</f>
        <v>3.0244781963440107E-2</v>
      </c>
      <c r="K5" s="11">
        <f>SUMPRODUCT(QTYMAR,QW_2015)/SUM(QW_2015)</f>
        <v>2.9511541031803916E-2</v>
      </c>
      <c r="L5" s="11">
        <f>SUMPRODUCT(QTYMAR,QW_2016)/SUM(QW_2016)</f>
        <v>3.3573010787022559E-2</v>
      </c>
      <c r="M5" s="11"/>
      <c r="N5" s="11"/>
      <c r="O5" s="11"/>
      <c r="Q5">
        <v>3</v>
      </c>
      <c r="S5" s="11">
        <f>SUMPRODUCT(ANMAR,AN_2008)/SUM(AN_2008)</f>
        <v>1.9398969204595939E-2</v>
      </c>
      <c r="T5" s="11">
        <f>SUMPRODUCT(ANMAR,AN_2009)/SUM(AN_2009)</f>
        <v>1.3131181811503041E-2</v>
      </c>
      <c r="U5" s="11">
        <f>SUMPRODUCT(ANMAR,AN_2010)/SUM(AN_2010)</f>
        <v>3.9773288013861072E-3</v>
      </c>
      <c r="V5" s="11">
        <f>SUMPRODUCT(ANMAR,AN_2011)/SUM(AN_2011)</f>
        <v>-4.9548071377007001E-3</v>
      </c>
      <c r="W5" s="11">
        <f>SUMPRODUCT(ANMAR,AN_2012)/SUM(AN_2012)</f>
        <v>1.1846543523682744E-2</v>
      </c>
      <c r="X5" s="11">
        <f>SUMPRODUCT(ANMAR,AN_2013)/SUM(AN_2013)</f>
        <v>2.1947972422543343E-3</v>
      </c>
      <c r="Y5" s="11">
        <f>SUMPRODUCT(ANMAR,AN_2014)/SUM(AN_2014)</f>
        <v>-3.6923616849215005E-3</v>
      </c>
      <c r="Z5" s="11">
        <f>SUMPRODUCT(ANMAR,AN_2015)/SUM(AN_2015)</f>
        <v>-3.5198185872311848E-3</v>
      </c>
      <c r="AA5" s="11">
        <f>SUMPRODUCT(ANMAR,AN_2016)/SUM(AN_2016)</f>
        <v>3.7576036009705736E-3</v>
      </c>
      <c r="AO5" s="1">
        <v>39539</v>
      </c>
      <c r="AP5">
        <f>'Maize Price IPA-STEP 1'!D30</f>
        <v>18.487597171014439</v>
      </c>
      <c r="AQ5" t="str">
        <f t="shared" si="0"/>
        <v/>
      </c>
      <c r="AR5" t="str">
        <f t="shared" si="2"/>
        <v/>
      </c>
      <c r="AS5">
        <f t="shared" si="3"/>
        <v>-0.18642815853365763</v>
      </c>
      <c r="AT5" t="str">
        <f t="shared" si="4"/>
        <v/>
      </c>
      <c r="AU5" t="str">
        <f t="shared" si="5"/>
        <v/>
      </c>
      <c r="AV5" s="8">
        <f t="shared" si="1"/>
        <v>-0.18642815853365763</v>
      </c>
    </row>
    <row r="6" spans="1:48">
      <c r="A6">
        <v>4</v>
      </c>
      <c r="C6" s="11">
        <f>SUMPRODUCT(QTYAPR,QW_2007)/SUM(QW_2007)</f>
        <v>1.6491286090380974E-2</v>
      </c>
      <c r="D6" s="11">
        <f>SUMPRODUCT(QTYAPR,QW_2008)/SUM(QW_2008)</f>
        <v>6.5761689644806332E-2</v>
      </c>
      <c r="E6" s="11">
        <f>SUMPRODUCT(QTYAPR,QW_2009)/SUM(QW_2009)</f>
        <v>5.4279951388729208E-2</v>
      </c>
      <c r="F6" s="11">
        <f>SUMPRODUCT(QTYAPR,QW_2010)/SUM(QW_2010)</f>
        <v>5.1794323815395525E-2</v>
      </c>
      <c r="G6" s="11">
        <f>SUMPRODUCT(QTYAPR,QW_2011)/SUM(QW_2011)</f>
        <v>4.0861125393876443E-2</v>
      </c>
      <c r="H6" s="11">
        <f>SUMPRODUCT(QTYAPR,QW_2012)/SUM(QW_2012)</f>
        <v>5.0320599990443672E-2</v>
      </c>
      <c r="I6" s="11">
        <f>SUMPRODUCT(QTYAPR,QW_2013)/SUM(QW_2013)</f>
        <v>3.5082948321088922E-2</v>
      </c>
      <c r="J6" s="11">
        <f>SUMPRODUCT(QTYAPR,QW_2014)/SUM(QW_2014)</f>
        <v>3.2996499738515435E-2</v>
      </c>
      <c r="K6" s="11">
        <f>SUMPRODUCT(QTYAPR,QW_2015)/SUM(QW_2015)</f>
        <v>3.591381716962859E-2</v>
      </c>
      <c r="L6" s="11">
        <f>SUMPRODUCT(QTYAPR,QW_2016)/SUM(QW_2016)</f>
        <v>2.9628846929650069E-2</v>
      </c>
      <c r="M6" s="11"/>
      <c r="N6" s="11"/>
      <c r="O6" s="11"/>
      <c r="Q6">
        <v>4</v>
      </c>
      <c r="S6" s="11">
        <f>SUMPRODUCT(ANAPR,AN_2008)/SUM(AN_2008)</f>
        <v>2.2115885335167507E-2</v>
      </c>
      <c r="T6" s="11">
        <f>SUMPRODUCT(ANAPR,AN_2009)/SUM(AN_2009)</f>
        <v>1.3708522525336978E-2</v>
      </c>
      <c r="U6" s="11">
        <f>SUMPRODUCT(ANAPR,AN_2010)/SUM(AN_2010)</f>
        <v>2.8589667376661314E-3</v>
      </c>
      <c r="V6" s="11">
        <f>SUMPRODUCT(ANAPR,AN_2011)/SUM(AN_2011)</f>
        <v>-5.5847855075740194E-3</v>
      </c>
      <c r="W6" s="11">
        <f>SUMPRODUCT(ANAPR,AN_2012)/SUM(AN_2012)</f>
        <v>1.3003779143650581E-2</v>
      </c>
      <c r="X6" s="11">
        <f>SUMPRODUCT(ANAPR,AN_2013)/SUM(AN_2013)</f>
        <v>2.9997248803395957E-4</v>
      </c>
      <c r="Y6" s="11">
        <f>SUMPRODUCT(ANAPR,AN_2014)/SUM(AN_2014)</f>
        <v>-3.88115072675405E-3</v>
      </c>
      <c r="Z6" s="11">
        <f>SUMPRODUCT(ANAPR,AN_2015)/SUM(AN_2015)</f>
        <v>-3.6384978377647917E-3</v>
      </c>
      <c r="AA6" s="11">
        <f>SUMPRODUCT(ANAPR,AN_2016)/SUM(AN_2016)</f>
        <v>3.2702560715942358E-3</v>
      </c>
      <c r="AO6" s="1">
        <v>39569</v>
      </c>
      <c r="AP6">
        <f>'Maize Price IPA-STEP 1'!D31</f>
        <v>18.023923527355066</v>
      </c>
      <c r="AQ6" t="str">
        <f t="shared" si="0"/>
        <v/>
      </c>
      <c r="AR6" t="str">
        <f t="shared" si="2"/>
        <v/>
      </c>
      <c r="AS6">
        <f t="shared" si="3"/>
        <v>-0.33601878290424159</v>
      </c>
      <c r="AT6" t="str">
        <f t="shared" si="4"/>
        <v/>
      </c>
      <c r="AU6" t="str">
        <f t="shared" si="5"/>
        <v/>
      </c>
      <c r="AV6" s="8">
        <f t="shared" si="1"/>
        <v>-0.33601878290424159</v>
      </c>
    </row>
    <row r="7" spans="1:48">
      <c r="A7">
        <v>5</v>
      </c>
      <c r="C7" s="11">
        <f>SUMPRODUCT(QTYMAY,QW_2007)/SUM(QW_2007)</f>
        <v>2.3807734267148994E-2</v>
      </c>
      <c r="D7" s="11">
        <f>SUMPRODUCT(QTYMAY,QW_2008)/SUM(QW_2008)</f>
        <v>7.4438908263040698E-2</v>
      </c>
      <c r="E7" s="11">
        <f>SUMPRODUCT(QTYMAY,QW_2009)/SUM(QW_2009)</f>
        <v>5.3172626434150175E-2</v>
      </c>
      <c r="F7" s="11">
        <f>SUMPRODUCT(QTYMAY,QW_2010)/SUM(QW_2010)</f>
        <v>4.4302769447047918E-2</v>
      </c>
      <c r="G7" s="11">
        <f>SUMPRODUCT(QTYMAY,QW_2011)/SUM(QW_2011)</f>
        <v>2.8927753223420082E-2</v>
      </c>
      <c r="H7" s="11">
        <f>SUMPRODUCT(QTYMAY,QW_2012)/SUM(QW_2012)</f>
        <v>3.843671569254932E-2</v>
      </c>
      <c r="I7" s="11">
        <f>SUMPRODUCT(QTYMAY,QW_2013)/SUM(QW_2013)</f>
        <v>2.4036816994486225E-2</v>
      </c>
      <c r="J7" s="11">
        <f>SUMPRODUCT(QTYMAY,QW_2014)/SUM(QW_2014)</f>
        <v>2.2655223148441588E-2</v>
      </c>
      <c r="K7" s="11">
        <f>SUMPRODUCT(QTYMAY,QW_2015)/SUM(QW_2015)</f>
        <v>2.4962331384640855E-2</v>
      </c>
      <c r="L7" s="11">
        <f>SUMPRODUCT(QTYMAY,QW_2016)/SUM(QW_2016)</f>
        <v>1.939224452670275E-2</v>
      </c>
      <c r="M7" s="11"/>
      <c r="N7" s="11"/>
      <c r="O7" s="11"/>
      <c r="Q7">
        <v>5</v>
      </c>
      <c r="S7" s="11">
        <f>SUMPRODUCT(ANMAY,AN_2008)/SUM(AN_2008)</f>
        <v>3.3933995186455457E-2</v>
      </c>
      <c r="T7" s="11">
        <f>SUMPRODUCT(ANMAY,AN_2009)/SUM(AN_2009)</f>
        <v>8.818057666651077E-3</v>
      </c>
      <c r="U7" s="11">
        <f>SUMPRODUCT(ANMAY,AN_2010)/SUM(AN_2010)</f>
        <v>-2.2911677260858011E-4</v>
      </c>
      <c r="V7" s="11">
        <f>SUMPRODUCT(ANMAY,AN_2011)/SUM(AN_2011)</f>
        <v>-7.2215985040367855E-3</v>
      </c>
      <c r="W7" s="11">
        <f>SUMPRODUCT(ANMAY,AN_2012)/SUM(AN_2012)</f>
        <v>1.4865831225661628E-2</v>
      </c>
      <c r="X7" s="11">
        <f>SUMPRODUCT(ANMAY,AN_2013)/SUM(AN_2013)</f>
        <v>-1.296690558624152E-3</v>
      </c>
      <c r="Y7" s="11">
        <f>SUMPRODUCT(ANMAY,AN_2014)/SUM(AN_2014)</f>
        <v>-4.569021669758571E-3</v>
      </c>
      <c r="Z7" s="11">
        <f>SUMPRODUCT(ANMAY,AN_2015)/SUM(AN_2015)</f>
        <v>-3.4012203119828171E-3</v>
      </c>
      <c r="AA7" s="11">
        <f>SUMPRODUCT(ANMAY,AN_2016)/SUM(AN_2016)</f>
        <v>2.9482301619445594E-3</v>
      </c>
      <c r="AO7" s="1">
        <v>39600</v>
      </c>
      <c r="AP7">
        <f>'Maize Price IPA-STEP 1'!D32</f>
        <v>19.339572117668496</v>
      </c>
      <c r="AQ7" t="str">
        <f t="shared" si="0"/>
        <v/>
      </c>
      <c r="AR7" t="str">
        <f t="shared" si="2"/>
        <v/>
      </c>
      <c r="AS7">
        <f t="shared" si="3"/>
        <v>-0.35069386902234745</v>
      </c>
      <c r="AT7" t="str">
        <f t="shared" si="4"/>
        <v/>
      </c>
      <c r="AU7" t="str">
        <f t="shared" si="5"/>
        <v/>
      </c>
      <c r="AV7" s="8">
        <f t="shared" si="1"/>
        <v>-0.35069386902234745</v>
      </c>
    </row>
    <row r="8" spans="1:48">
      <c r="A8">
        <v>6</v>
      </c>
      <c r="C8" s="11">
        <f>SUMPRODUCT(QTYJUN,QW_2007)/SUM(QW_2007)</f>
        <v>2.3992943487265883E-2</v>
      </c>
      <c r="D8" s="11">
        <f>SUMPRODUCT(QTYJUN,QW_2008)/SUM(QW_2008)</f>
        <v>8.9252379365181447E-2</v>
      </c>
      <c r="E8" s="11">
        <f>SUMPRODUCT(QTYJUN,QW_2009)/SUM(QW_2009)</f>
        <v>6.0644774292378946E-2</v>
      </c>
      <c r="F8" s="11">
        <f>SUMPRODUCT(QTYJUN,QW_2010)/SUM(QW_2010)</f>
        <v>2.6246227154459102E-2</v>
      </c>
      <c r="G8" s="11">
        <f>SUMPRODUCT(QTYJUN,QW_2011)/SUM(QW_2011)</f>
        <v>1.7420428747167524E-2</v>
      </c>
      <c r="H8" s="11">
        <f>SUMPRODUCT(QTYJUN,QW_2012)/SUM(QW_2012)</f>
        <v>4.2019346477718385E-2</v>
      </c>
      <c r="I8" s="11">
        <f>SUMPRODUCT(QTYJUN,QW_2013)/SUM(QW_2013)</f>
        <v>2.4157827225400171E-2</v>
      </c>
      <c r="J8" s="11">
        <f>SUMPRODUCT(QTYJUN,QW_2014)/SUM(QW_2014)</f>
        <v>2.3147466062732443E-2</v>
      </c>
      <c r="K8" s="11">
        <f>SUMPRODUCT(QTYJUN,QW_2015)/SUM(QW_2015)</f>
        <v>3.0508106670358182E-2</v>
      </c>
      <c r="L8" s="11">
        <f>SUMPRODUCT(QTYJUN,QW_2016)/SUM(QW_2016)</f>
        <v>2.3903000503480314E-2</v>
      </c>
      <c r="M8" s="11"/>
      <c r="N8" s="11"/>
      <c r="O8" s="11"/>
      <c r="Q8">
        <v>6</v>
      </c>
      <c r="S8" s="11">
        <f>SUMPRODUCT(ANJUN,AN_2008)/SUM(AN_2008)</f>
        <v>4.2933826460810565E-2</v>
      </c>
      <c r="T8" s="11">
        <f>SUMPRODUCT(ANJUN,AN_2009)/SUM(AN_2009)</f>
        <v>7.0704756672831746E-3</v>
      </c>
      <c r="U8" s="11">
        <f>SUMPRODUCT(ANJUN,AN_2010)/SUM(AN_2010)</f>
        <v>-6.1170096636769351E-3</v>
      </c>
      <c r="V8" s="11">
        <f>SUMPRODUCT(ANJUN,AN_2011)/SUM(AN_2011)</f>
        <v>-8.5054220777638564E-3</v>
      </c>
      <c r="W8" s="11">
        <f>SUMPRODUCT(ANJUN,AN_2012)/SUM(AN_2012)</f>
        <v>1.8188219452850488E-2</v>
      </c>
      <c r="X8" s="11">
        <f>SUMPRODUCT(ANJUN,AN_2013)/SUM(AN_2013)</f>
        <v>-2.1012451080806489E-3</v>
      </c>
      <c r="Y8" s="11">
        <f>SUMPRODUCT(ANJUN,AN_2014)/SUM(AN_2014)</f>
        <v>-3.8809145821898251E-3</v>
      </c>
      <c r="Z8" s="11">
        <f>SUMPRODUCT(ANJUN,AN_2015)/SUM(AN_2015)</f>
        <v>-1.5066876801741876E-3</v>
      </c>
      <c r="AA8" s="11">
        <f>SUMPRODUCT(ANJUN,AN_2016)/SUM(AN_2016)</f>
        <v>2.0862176874651178E-3</v>
      </c>
      <c r="AO8" s="1">
        <v>39630</v>
      </c>
      <c r="AP8">
        <f>'Maize Price IPA-STEP 1'!D33</f>
        <v>18.756381279696946</v>
      </c>
      <c r="AQ8" t="str">
        <f t="shared" si="0"/>
        <v/>
      </c>
      <c r="AR8" t="str">
        <f t="shared" si="2"/>
        <v/>
      </c>
      <c r="AS8">
        <f t="shared" si="3"/>
        <v>-0.42380489101114699</v>
      </c>
      <c r="AT8" t="str">
        <f t="shared" si="4"/>
        <v/>
      </c>
      <c r="AU8" t="str">
        <f t="shared" si="5"/>
        <v/>
      </c>
      <c r="AV8" s="8">
        <f t="shared" si="1"/>
        <v>-0.42380489101114699</v>
      </c>
    </row>
    <row r="9" spans="1:48">
      <c r="A9">
        <v>7</v>
      </c>
      <c r="C9" s="11">
        <f>SUMPRODUCT(QTYJUL,QW_2007)/SUM(QW_2007)</f>
        <v>9.2036924848668544E-3</v>
      </c>
      <c r="D9" s="11">
        <f>SUMPRODUCT(QTYJUL,QW_2008)/SUM(QW_2008)</f>
        <v>8.2815193541784238E-2</v>
      </c>
      <c r="E9" s="11">
        <f>SUMPRODUCT(QTYJUL,QW_2009)/SUM(QW_2009)</f>
        <v>4.3819050813541982E-2</v>
      </c>
      <c r="F9" s="11">
        <f>SUMPRODUCT(QTYJUL,QW_2010)/SUM(QW_2010)</f>
        <v>2.0678741079256494E-2</v>
      </c>
      <c r="G9" s="11">
        <f>SUMPRODUCT(QTYJUL,QW_2011)/SUM(QW_2011)</f>
        <v>2.3218191776441351E-2</v>
      </c>
      <c r="H9" s="11">
        <f>SUMPRODUCT(QTYJUL,QW_2012)/SUM(QW_2012)</f>
        <v>3.5037883155613896E-2</v>
      </c>
      <c r="I9" s="11">
        <f>SUMPRODUCT(QTYJUL,QW_2013)/SUM(QW_2013)</f>
        <v>2.3055650949637581E-2</v>
      </c>
      <c r="J9" s="11">
        <f>SUMPRODUCT(QTYJUL,QW_2014)/SUM(QW_2014)</f>
        <v>2.2562972113011517E-2</v>
      </c>
      <c r="K9" s="11">
        <f>SUMPRODUCT(QTYJUL,QW_2015)/SUM(QW_2015)</f>
        <v>4.0391490568386305E-2</v>
      </c>
      <c r="L9" s="11">
        <f>SUMPRODUCT(QTYJUL,QW_2016)/SUM(QW_2016)</f>
        <v>3.8622188996294438E-2</v>
      </c>
      <c r="M9" s="11"/>
      <c r="N9" s="11"/>
      <c r="O9" s="11"/>
      <c r="Q9">
        <v>7</v>
      </c>
      <c r="S9" s="11">
        <f>SUMPRODUCT(ANJUL,AN_2008)/SUM(AN_2008)</f>
        <v>4.8994433847212582E-2</v>
      </c>
      <c r="T9" s="11">
        <f>SUMPRODUCT(ANJUL,AN_2009)/SUM(AN_2009)</f>
        <v>4.7107755776888052E-3</v>
      </c>
      <c r="U9" s="11">
        <f>SUMPRODUCT(ANJUL,AN_2010)/SUM(AN_2010)</f>
        <v>-3.9832354356711579E-3</v>
      </c>
      <c r="V9" s="11">
        <f>SUMPRODUCT(ANJUL,AN_2011)/SUM(AN_2011)</f>
        <v>-5.5415402476434276E-3</v>
      </c>
      <c r="W9" s="11">
        <f>SUMPRODUCT(ANJUL,AN_2012)/SUM(AN_2012)</f>
        <v>1.6081083864728868E-2</v>
      </c>
      <c r="X9" s="11">
        <f>SUMPRODUCT(ANJUL,AN_2013)/SUM(AN_2013)</f>
        <v>-2.6803694157342029E-3</v>
      </c>
      <c r="Y9" s="11">
        <f>SUMPRODUCT(ANJUL,AN_2014)/SUM(AN_2014)</f>
        <v>-4.0422426338029265E-3</v>
      </c>
      <c r="Z9" s="11">
        <f>SUMPRODUCT(ANJUL,AN_2015)/SUM(AN_2015)</f>
        <v>1.010982378786422E-3</v>
      </c>
      <c r="AA9" s="11">
        <f>SUMPRODUCT(ANJUL,AN_2016)/SUM(AN_2016)</f>
        <v>3.124772682485706E-3</v>
      </c>
      <c r="AO9" s="1">
        <v>39661</v>
      </c>
      <c r="AP9">
        <f>'Maize Price IPA-STEP 1'!D34</f>
        <v>18.3554770362759</v>
      </c>
      <c r="AQ9" t="str">
        <f t="shared" si="0"/>
        <v/>
      </c>
      <c r="AR9" t="str">
        <f t="shared" si="2"/>
        <v/>
      </c>
      <c r="AS9">
        <f t="shared" si="3"/>
        <v>-0.49553368839291095</v>
      </c>
      <c r="AT9" t="str">
        <f t="shared" si="4"/>
        <v/>
      </c>
      <c r="AU9" t="str">
        <f t="shared" si="5"/>
        <v/>
      </c>
      <c r="AV9" s="8">
        <f t="shared" si="1"/>
        <v>-0.49553368839291095</v>
      </c>
    </row>
    <row r="10" spans="1:48">
      <c r="A10">
        <v>8</v>
      </c>
      <c r="C10" s="11">
        <f>SUMPRODUCT(QTYAUG,QW_2007)/SUM(QW_2007)</f>
        <v>1.2654508993410474E-2</v>
      </c>
      <c r="D10" s="11">
        <f>SUMPRODUCT(QTYAUG,QW_2008)/SUM(QW_2008)</f>
        <v>4.0121248433877099E-2</v>
      </c>
      <c r="E10" s="11">
        <f>SUMPRODUCT(QTYAUG,QW_2009)/SUM(QW_2009)</f>
        <v>2.3107880055050267E-2</v>
      </c>
      <c r="F10" s="11">
        <f>SUMPRODUCT(QTYAUG,QW_2010)/SUM(QW_2010)</f>
        <v>1.2228955806606946E-2</v>
      </c>
      <c r="G10" s="11">
        <f>SUMPRODUCT(QTYAUG,QW_2011)/SUM(QW_2011)</f>
        <v>2.3694726416423603E-2</v>
      </c>
      <c r="H10" s="11">
        <f>SUMPRODUCT(QTYAUG,QW_2012)/SUM(QW_2012)</f>
        <v>3.0473387134977731E-2</v>
      </c>
      <c r="I10" s="11">
        <f>SUMPRODUCT(QTYAUG,QW_2013)/SUM(QW_2013)</f>
        <v>2.8381137783974039E-2</v>
      </c>
      <c r="J10" s="11">
        <f>SUMPRODUCT(QTYAUG,QW_2014)/SUM(QW_2014)</f>
        <v>2.9106227219170798E-2</v>
      </c>
      <c r="K10" s="11">
        <f>SUMPRODUCT(QTYAUG,QW_2015)/SUM(QW_2015)</f>
        <v>5.2306322663453357E-2</v>
      </c>
      <c r="L10" s="11">
        <f>SUMPRODUCT(QTYAUG,QW_2016)/SUM(QW_2016)</f>
        <v>4.542847193564388E-2</v>
      </c>
      <c r="M10" s="11"/>
      <c r="N10" s="11"/>
      <c r="O10" s="11"/>
      <c r="Q10">
        <v>8</v>
      </c>
      <c r="S10" s="11">
        <f>SUMPRODUCT(ANAUG,AN_2008)/SUM(AN_2008)</f>
        <v>4.4293717965857571E-2</v>
      </c>
      <c r="T10" s="11">
        <f>SUMPRODUCT(ANAUG,AN_2009)/SUM(AN_2009)</f>
        <v>4.6149306373461929E-3</v>
      </c>
      <c r="U10" s="11">
        <f>SUMPRODUCT(ANAUG,AN_2010)/SUM(AN_2010)</f>
        <v>-3.5890112273556651E-3</v>
      </c>
      <c r="V10" s="11">
        <f>SUMPRODUCT(ANAUG,AN_2011)/SUM(AN_2011)</f>
        <v>-4.3281109358930927E-3</v>
      </c>
      <c r="W10" s="11">
        <f>SUMPRODUCT(ANAUG,AN_2012)/SUM(AN_2012)</f>
        <v>1.6861736119714043E-2</v>
      </c>
      <c r="X10" s="11">
        <f>SUMPRODUCT(ANAUG,AN_2013)/SUM(AN_2013)</f>
        <v>-1.5406530630902757E-3</v>
      </c>
      <c r="Y10" s="11">
        <f>SUMPRODUCT(ANAUG,AN_2014)/SUM(AN_2014)</f>
        <v>-4.1790528950559173E-3</v>
      </c>
      <c r="Z10" s="11">
        <f>SUMPRODUCT(ANAUG,AN_2015)/SUM(AN_2015)</f>
        <v>2.7792856147069115E-3</v>
      </c>
      <c r="AA10" s="11">
        <f>SUMPRODUCT(ANAUG,AN_2016)/SUM(AN_2016)</f>
        <v>1.7581396468490285E-3</v>
      </c>
      <c r="AO10" s="1">
        <v>39692</v>
      </c>
      <c r="AP10">
        <f>'Maize Price IPA-STEP 1'!D35</f>
        <v>18.096785544602817</v>
      </c>
      <c r="AQ10" t="str">
        <f t="shared" si="0"/>
        <v/>
      </c>
      <c r="AR10" t="str">
        <f t="shared" si="2"/>
        <v/>
      </c>
      <c r="AS10" t="str">
        <f t="shared" si="3"/>
        <v/>
      </c>
      <c r="AT10" t="str">
        <f t="shared" si="4"/>
        <v/>
      </c>
      <c r="AU10">
        <f t="shared" si="5"/>
        <v>-0.59051370129477343</v>
      </c>
      <c r="AV10" s="8">
        <f t="shared" si="1"/>
        <v>-0.59051370129477343</v>
      </c>
    </row>
    <row r="11" spans="1:48">
      <c r="A11">
        <v>9</v>
      </c>
      <c r="C11" s="11">
        <f>SUMPRODUCT(QTYSEP,QW_2007)/SUM(QW_2007)</f>
        <v>1.7291154448602075E-3</v>
      </c>
      <c r="D11" s="11">
        <f>SUMPRODUCT(QTYSEP,QW_2008)/SUM(QW_2008)</f>
        <v>-7.8115948073012031E-3</v>
      </c>
      <c r="E11" s="11">
        <f>SUMPRODUCT(QTYSEP,QW_2009)/SUM(QW_2009)</f>
        <v>-1.4853994962282235E-2</v>
      </c>
      <c r="F11" s="11">
        <f>SUMPRODUCT(QTYSEP,QW_2010)/SUM(QW_2010)</f>
        <v>-1.5982031197460667E-2</v>
      </c>
      <c r="G11" s="11">
        <f>SUMPRODUCT(QTYSEP,QW_2011)/SUM(QW_2011)</f>
        <v>2.0383251683831222E-2</v>
      </c>
      <c r="H11" s="11">
        <f>SUMPRODUCT(QTYSEP,QW_2012)/SUM(QW_2012)</f>
        <v>-8.6259825600239707E-3</v>
      </c>
      <c r="I11" s="11">
        <f>SUMPRODUCT(QTYSEP,QW_2013)/SUM(QW_2013)</f>
        <v>-1.0863423922325196E-2</v>
      </c>
      <c r="J11" s="11">
        <f>SUMPRODUCT(QTYSEP,QW_2014)/SUM(QW_2014)</f>
        <v>-7.2471942606001632E-3</v>
      </c>
      <c r="K11" s="11">
        <f>SUMPRODUCT(QTYSEP,QW_2015)/SUM(QW_2015)</f>
        <v>1.1812916797589784E-3</v>
      </c>
      <c r="L11" s="11">
        <f>SUMPRODUCT(QTYSEP,QW_2016)/SUM(QW_2016)</f>
        <v>7.0347414126646266E-4</v>
      </c>
      <c r="M11" s="11"/>
      <c r="N11" s="11"/>
      <c r="O11" s="11"/>
      <c r="Q11">
        <v>9</v>
      </c>
      <c r="S11" s="11">
        <f>SUMPRODUCT(ANSEP,AN_2008)/SUM(AN_2008)</f>
        <v>3.9188769895444509E-2</v>
      </c>
      <c r="T11" s="11">
        <f>SUMPRODUCT(ANSEP,AN_2009)/SUM(AN_2009)</f>
        <v>4.2614790411261705E-3</v>
      </c>
      <c r="U11" s="11">
        <f>SUMPRODUCT(ANSEP,AN_2010)/SUM(AN_2010)</f>
        <v>-6.9931751850605406E-3</v>
      </c>
      <c r="V11" s="11">
        <f>SUMPRODUCT(ANSEP,AN_2011)/SUM(AN_2011)</f>
        <v>1.6682338128600205E-3</v>
      </c>
      <c r="W11" s="11">
        <f>SUMPRODUCT(ANSEP,AN_2012)/SUM(AN_2012)</f>
        <v>9.7948362550276391E-3</v>
      </c>
      <c r="X11" s="11">
        <f>SUMPRODUCT(ANSEP,AN_2013)/SUM(AN_2013)</f>
        <v>-3.5323585216830195E-3</v>
      </c>
      <c r="Y11" s="11">
        <f>SUMPRODUCT(ANSEP,AN_2014)/SUM(AN_2014)</f>
        <v>-3.5179868360216649E-3</v>
      </c>
      <c r="Z11" s="11">
        <f>SUMPRODUCT(ANSEP,AN_2015)/SUM(AN_2015)</f>
        <v>3.9821264573747586E-4</v>
      </c>
      <c r="AA11" s="11">
        <f>SUMPRODUCT(ANSEP,AN_2016)/SUM(AN_2016)</f>
        <v>1.8014179355608589E-3</v>
      </c>
      <c r="AO11" s="1">
        <v>39722</v>
      </c>
      <c r="AP11">
        <f>'Maize Price IPA-STEP 1'!D36</f>
        <v>16.76294622355611</v>
      </c>
      <c r="AQ11" t="str">
        <f t="shared" si="0"/>
        <v/>
      </c>
      <c r="AR11" t="str">
        <f t="shared" si="2"/>
        <v/>
      </c>
      <c r="AS11">
        <f t="shared" si="3"/>
        <v>4.9984915655278406E-2</v>
      </c>
      <c r="AT11" t="str">
        <f t="shared" si="4"/>
        <v/>
      </c>
      <c r="AU11" t="str">
        <f t="shared" si="5"/>
        <v/>
      </c>
      <c r="AV11" s="8">
        <f t="shared" si="1"/>
        <v>4.9984915655278406E-2</v>
      </c>
    </row>
    <row r="12" spans="1:48">
      <c r="A12">
        <v>10</v>
      </c>
      <c r="C12" s="11">
        <f>SUMPRODUCT(QTYOCT,QW_2007)/SUM(QW_2007)</f>
        <v>-2.2590489192398922E-3</v>
      </c>
      <c r="D12" s="11">
        <f>SUMPRODUCT(QTYOCT,QW_2008)/SUM(QW_2008)</f>
        <v>-4.1688890272411995E-2</v>
      </c>
      <c r="E12" s="11">
        <f>SUMPRODUCT(QTYOCT,QW_2009)/SUM(QW_2009)</f>
        <v>-3.9225268654487846E-2</v>
      </c>
      <c r="F12" s="11">
        <f>SUMPRODUCT(QTYOCT,QW_2010)/SUM(QW_2010)</f>
        <v>-4.3770129714049061E-2</v>
      </c>
      <c r="G12" s="11">
        <f>SUMPRODUCT(QTYOCT,QW_2011)/SUM(QW_2011)</f>
        <v>-2.4905734326001246E-2</v>
      </c>
      <c r="H12" s="11">
        <f>SUMPRODUCT(QTYOCT,QW_2012)/SUM(QW_2012)</f>
        <v>-4.8420997367041564E-2</v>
      </c>
      <c r="I12" s="11">
        <f>SUMPRODUCT(QTYOCT,QW_2013)/SUM(QW_2013)</f>
        <v>-5.0161667785794936E-2</v>
      </c>
      <c r="J12" s="11">
        <f>SUMPRODUCT(QTYOCT,QW_2014)/SUM(QW_2014)</f>
        <v>-4.7442938470884613E-2</v>
      </c>
      <c r="K12" s="11">
        <f>SUMPRODUCT(QTYOCT,QW_2015)/SUM(QW_2015)</f>
        <v>-4.1930736377321691E-2</v>
      </c>
      <c r="L12" s="11">
        <f>SUMPRODUCT(QTYOCT,QW_2016)/SUM(QW_2016)</f>
        <v>-4.4146396317729014E-2</v>
      </c>
      <c r="M12" s="11"/>
      <c r="N12" s="11"/>
      <c r="O12" s="11"/>
      <c r="Q12">
        <v>10</v>
      </c>
      <c r="S12" s="11">
        <f>SUMPRODUCT(ANOCT,AN_2008)/SUM(AN_2008)</f>
        <v>3.3090649981902587E-2</v>
      </c>
      <c r="T12" s="11">
        <f>SUMPRODUCT(ANOCT,AN_2009)/SUM(AN_2009)</f>
        <v>3.6672610617017511E-3</v>
      </c>
      <c r="U12" s="11">
        <f>SUMPRODUCT(ANOCT,AN_2010)/SUM(AN_2010)</f>
        <v>-6.2860416314951722E-3</v>
      </c>
      <c r="V12" s="11">
        <f>SUMPRODUCT(ANOCT,AN_2011)/SUM(AN_2011)</f>
        <v>-4.5670876616338242E-4</v>
      </c>
      <c r="W12" s="11">
        <f>SUMPRODUCT(ANOCT,AN_2012)/SUM(AN_2012)</f>
        <v>8.5090475972599729E-3</v>
      </c>
      <c r="X12" s="11">
        <f>SUMPRODUCT(ANOCT,AN_2013)/SUM(AN_2013)</f>
        <v>-4.2312031043491441E-3</v>
      </c>
      <c r="Y12" s="11">
        <f>SUMPRODUCT(ANOCT,AN_2014)/SUM(AN_2014)</f>
        <v>-4.0676241739964238E-3</v>
      </c>
      <c r="Z12" s="11">
        <f>SUMPRODUCT(ANOCT,AN_2015)/SUM(AN_2015)</f>
        <v>2.0453862409977389E-3</v>
      </c>
      <c r="AA12" s="11">
        <f>SUMPRODUCT(ANOCT,AN_2016)/SUM(AN_2016)</f>
        <v>2.1619774420531812E-3</v>
      </c>
      <c r="AO12" s="1">
        <v>39753</v>
      </c>
      <c r="AP12">
        <f>'Maize Price IPA-STEP 1'!D37</f>
        <v>15.308745001647399</v>
      </c>
      <c r="AQ12" t="str">
        <f t="shared" si="0"/>
        <v/>
      </c>
      <c r="AR12" t="str">
        <f t="shared" si="2"/>
        <v/>
      </c>
      <c r="AS12">
        <f t="shared" si="3"/>
        <v>7.667741068393405E-2</v>
      </c>
      <c r="AT12" t="str">
        <f t="shared" si="4"/>
        <v/>
      </c>
      <c r="AU12" t="str">
        <f t="shared" si="5"/>
        <v/>
      </c>
      <c r="AV12" s="8">
        <f t="shared" si="1"/>
        <v>7.667741068393405E-2</v>
      </c>
    </row>
    <row r="13" spans="1:48">
      <c r="A13">
        <v>11</v>
      </c>
      <c r="C13" s="11">
        <f>SUMPRODUCT(QTYNOV,QW_2007)/SUM(QW_2007)</f>
        <v>-9.1819591544917145E-4</v>
      </c>
      <c r="D13" s="11">
        <f>SUMPRODUCT(QTYNOV,QW_2008)/SUM(QW_2008)</f>
        <v>-7.2412388477072639E-2</v>
      </c>
      <c r="E13" s="11">
        <f>SUMPRODUCT(QTYNOV,QW_2009)/SUM(QW_2009)</f>
        <v>-6.5559901521367814E-2</v>
      </c>
      <c r="F13" s="11">
        <f>SUMPRODUCT(QTYNOV,QW_2010)/SUM(QW_2010)</f>
        <v>-5.4977529257381648E-2</v>
      </c>
      <c r="G13" s="11">
        <f>SUMPRODUCT(QTYNOV,QW_2011)/SUM(QW_2011)</f>
        <v>-3.658489295333367E-2</v>
      </c>
      <c r="H13" s="11">
        <f>SUMPRODUCT(QTYNOV,QW_2012)/SUM(QW_2012)</f>
        <v>-7.3939268405392666E-2</v>
      </c>
      <c r="I13" s="11">
        <f>SUMPRODUCT(QTYNOV,QW_2013)/SUM(QW_2013)</f>
        <v>-7.3016517785130228E-2</v>
      </c>
      <c r="J13" s="11">
        <f>SUMPRODUCT(QTYNOV,QW_2014)/SUM(QW_2014)</f>
        <v>-6.5045497177160488E-2</v>
      </c>
      <c r="K13" s="11">
        <f>SUMPRODUCT(QTYNOV,QW_2015)/SUM(QW_2015)</f>
        <v>-6.2888653102153344E-2</v>
      </c>
      <c r="L13" s="11">
        <f>SUMPRODUCT(QTYNOV,QW_2016)/SUM(QW_2016)</f>
        <v>-5.8168492663071336E-2</v>
      </c>
      <c r="M13" s="11"/>
      <c r="N13" s="11"/>
      <c r="O13" s="11"/>
      <c r="Q13">
        <v>11</v>
      </c>
      <c r="S13" s="11">
        <f>SUMPRODUCT(ANNOV,AN_2008)/SUM(AN_2008)</f>
        <v>-0.10815948475788439</v>
      </c>
      <c r="T13" s="11">
        <f>SUMPRODUCT(ANNOV,AN_2009)/SUM(AN_2009)</f>
        <v>-7.519143796307011E-2</v>
      </c>
      <c r="U13" s="11">
        <f>SUMPRODUCT(ANNOV,AN_2010)/SUM(AN_2010)</f>
        <v>-5.7147704412236246E-2</v>
      </c>
      <c r="V13" s="11">
        <f>SUMPRODUCT(ANNOV,AN_2011)/SUM(AN_2011)</f>
        <v>-3.4208470785436845E-2</v>
      </c>
      <c r="W13" s="11">
        <f>SUMPRODUCT(ANNOV,AN_2012)/SUM(AN_2012)</f>
        <v>-7.8580716202137926E-2</v>
      </c>
      <c r="X13" s="11">
        <f>SUMPRODUCT(ANNOV,AN_2013)/SUM(AN_2013)</f>
        <v>-7.6200016122767944E-2</v>
      </c>
      <c r="Y13" s="11">
        <f>SUMPRODUCT(ANNOV,AN_2014)/SUM(AN_2014)</f>
        <v>-6.6436743354392563E-2</v>
      </c>
      <c r="Z13" s="11">
        <f>SUMPRODUCT(ANNOV,AN_2015)/SUM(AN_2015)</f>
        <v>-4.6664466974700634E-2</v>
      </c>
      <c r="AA13" s="11">
        <f>SUMPRODUCT(ANNOV,AN_2016)/SUM(AN_2016)</f>
        <v>-3.6888811442065891E-2</v>
      </c>
      <c r="AO13" s="1">
        <v>39783</v>
      </c>
      <c r="AP13">
        <f>'Maize Price IPA-STEP 1'!D38</f>
        <v>16.163947468208047</v>
      </c>
      <c r="AQ13" t="str">
        <f t="shared" si="0"/>
        <v/>
      </c>
      <c r="AR13" t="str">
        <f t="shared" si="2"/>
        <v/>
      </c>
      <c r="AS13">
        <f t="shared" si="3"/>
        <v>0.31289583088105694</v>
      </c>
      <c r="AT13" t="str">
        <f t="shared" si="4"/>
        <v/>
      </c>
      <c r="AU13" t="str">
        <f t="shared" si="5"/>
        <v/>
      </c>
      <c r="AV13" s="8">
        <f t="shared" si="1"/>
        <v>0.31289583088105694</v>
      </c>
    </row>
    <row r="14" spans="1:48">
      <c r="A14">
        <v>12</v>
      </c>
      <c r="C14" s="11">
        <f>SUMPRODUCT(QTYDEC,QW_2007)/SUM(QW_2007)</f>
        <v>-2.8355757157335404E-2</v>
      </c>
      <c r="D14" s="11">
        <f>SUMPRODUCT(QTYDEC,QW_2008)/SUM(QW_2008)</f>
        <v>-6.7824014541910074E-2</v>
      </c>
      <c r="E14" s="11">
        <f>SUMPRODUCT(QTYDEC,QW_2009)/SUM(QW_2009)</f>
        <v>-5.2387198057192698E-2</v>
      </c>
      <c r="F14" s="11">
        <f>SUMPRODUCT(QTYDEC,QW_2010)/SUM(QW_2010)</f>
        <v>-4.3514777439675544E-2</v>
      </c>
      <c r="G14" s="11">
        <f>SUMPRODUCT(QTYDEC,QW_2011)/SUM(QW_2011)</f>
        <v>-4.125872153736896E-2</v>
      </c>
      <c r="H14" s="11">
        <f>SUMPRODUCT(QTYDEC,QW_2012)/SUM(QW_2012)</f>
        <v>-5.742667211917292E-2</v>
      </c>
      <c r="I14" s="11">
        <f>SUMPRODUCT(QTYDEC,QW_2013)/SUM(QW_2013)</f>
        <v>-5.2314331116851867E-2</v>
      </c>
      <c r="J14" s="11">
        <f>SUMPRODUCT(QTYDEC,QW_2014)/SUM(QW_2014)</f>
        <v>-5.4200409521966975E-2</v>
      </c>
      <c r="K14" s="11">
        <f>SUMPRODUCT(QTYDEC,QW_2015)/SUM(QW_2015)</f>
        <v>-4.608517041740124E-2</v>
      </c>
      <c r="L14" s="11">
        <f>SUMPRODUCT(QTYDEC,QW_2016)/SUM(QW_2016)</f>
        <v>-4.3824180578173812E-2</v>
      </c>
      <c r="M14" s="11"/>
      <c r="N14" s="11"/>
      <c r="O14" s="11"/>
      <c r="Q14">
        <v>12</v>
      </c>
      <c r="S14" s="11">
        <f>SUMPRODUCT(ANDEC,AN_2008)/SUM(AN_2008)</f>
        <v>2.2984195815638042E-2</v>
      </c>
      <c r="T14" s="11">
        <f>SUMPRODUCT(ANDEC,AN_2009)/SUM(AN_2009)</f>
        <v>7.7981145762618569E-3</v>
      </c>
      <c r="U14" s="11">
        <f>SUMPRODUCT(ANDEC,AN_2010)/SUM(AN_2010)</f>
        <v>-4.3677040108173384E-3</v>
      </c>
      <c r="V14" s="11">
        <f>SUMPRODUCT(ANDEC,AN_2011)/SUM(AN_2011)</f>
        <v>2.5574739357188238E-3</v>
      </c>
      <c r="W14" s="11">
        <f>SUMPRODUCT(ANDEC,AN_2012)/SUM(AN_2012)</f>
        <v>4.8300746281002629E-3</v>
      </c>
      <c r="X14" s="11">
        <f>SUMPRODUCT(ANDEC,AN_2013)/SUM(AN_2013)</f>
        <v>-2.5498772599915095E-3</v>
      </c>
      <c r="Y14" s="11">
        <f>SUMPRODUCT(ANDEC,AN_2014)/SUM(AN_2014)</f>
        <v>-4.3364551509712402E-3</v>
      </c>
      <c r="Z14" s="11">
        <f>SUMPRODUCT(ANDEC,AN_2015)/SUM(AN_2015)</f>
        <v>2.5398361230610138E-3</v>
      </c>
      <c r="AA14" s="11">
        <f>SUMPRODUCT(ANDEC,AN_2016)/SUM(AN_2016)</f>
        <v>2.4842057439336805E-3</v>
      </c>
      <c r="AO14" s="1">
        <v>39814</v>
      </c>
      <c r="AP14">
        <f>'Maize Price IPA-STEP 1'!D39</f>
        <v>14.584925841123599</v>
      </c>
      <c r="AQ14" t="str">
        <f t="shared" si="0"/>
        <v/>
      </c>
      <c r="AR14" t="str">
        <f t="shared" si="2"/>
        <v/>
      </c>
      <c r="AS14" t="str">
        <f t="shared" si="3"/>
        <v/>
      </c>
      <c r="AT14">
        <f t="shared" si="4"/>
        <v>-2.9137118618526276</v>
      </c>
      <c r="AU14" t="str">
        <f t="shared" si="5"/>
        <v/>
      </c>
      <c r="AV14" s="8">
        <f t="shared" ref="AV14:AV25" si="6">AF45</f>
        <v>-2.9137118618526276</v>
      </c>
    </row>
    <row r="15" spans="1:48">
      <c r="B15" s="25" t="s">
        <v>170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17"/>
      <c r="N15" s="17"/>
      <c r="O15" s="17"/>
      <c r="R15" s="25" t="s">
        <v>176</v>
      </c>
      <c r="S15" s="25"/>
      <c r="T15" s="25"/>
      <c r="U15" s="25"/>
      <c r="V15" s="25"/>
      <c r="W15" s="25"/>
      <c r="X15" s="25"/>
      <c r="Y15" s="25"/>
      <c r="Z15" s="25"/>
      <c r="AA15" s="25"/>
      <c r="AO15" s="1">
        <v>39845</v>
      </c>
      <c r="AP15">
        <f>'Maize Price IPA-STEP 1'!D40</f>
        <v>14.706406338192643</v>
      </c>
      <c r="AQ15" t="str">
        <f t="shared" si="0"/>
        <v/>
      </c>
      <c r="AR15" t="str">
        <f t="shared" si="2"/>
        <v/>
      </c>
      <c r="AS15" t="str">
        <f t="shared" si="3"/>
        <v/>
      </c>
      <c r="AT15">
        <f t="shared" si="4"/>
        <v>-13.114651087944781</v>
      </c>
      <c r="AU15" t="str">
        <f t="shared" si="5"/>
        <v/>
      </c>
      <c r="AV15" s="8">
        <f t="shared" si="6"/>
        <v>-13.114651087944781</v>
      </c>
    </row>
    <row r="16" spans="1:48">
      <c r="A16" t="s">
        <v>2</v>
      </c>
      <c r="B16" t="s">
        <v>42</v>
      </c>
      <c r="C16" t="s">
        <v>43</v>
      </c>
      <c r="D16" t="s">
        <v>44</v>
      </c>
      <c r="E16" t="s">
        <v>45</v>
      </c>
      <c r="F16" t="s">
        <v>46</v>
      </c>
      <c r="G16" t="s">
        <v>47</v>
      </c>
      <c r="H16" t="s">
        <v>48</v>
      </c>
      <c r="I16" t="s">
        <v>49</v>
      </c>
      <c r="J16" s="3" t="s">
        <v>50</v>
      </c>
      <c r="K16" s="3" t="s">
        <v>123</v>
      </c>
      <c r="L16" s="3" t="s">
        <v>143</v>
      </c>
      <c r="Q16" t="s">
        <v>2</v>
      </c>
      <c r="R16" t="s">
        <v>59</v>
      </c>
      <c r="S16" t="s">
        <v>60</v>
      </c>
      <c r="T16" t="s">
        <v>61</v>
      </c>
      <c r="U16" t="s">
        <v>62</v>
      </c>
      <c r="V16" t="s">
        <v>63</v>
      </c>
      <c r="W16" t="s">
        <v>64</v>
      </c>
      <c r="X16" t="s">
        <v>65</v>
      </c>
      <c r="Y16" t="s">
        <v>66</v>
      </c>
      <c r="Z16" t="s">
        <v>129</v>
      </c>
      <c r="AA16" t="s">
        <v>141</v>
      </c>
      <c r="AO16" s="1">
        <v>39873</v>
      </c>
      <c r="AP16">
        <f>'Maize Price IPA-STEP 1'!D41</f>
        <v>16.53153369989041</v>
      </c>
      <c r="AQ16" t="str">
        <f t="shared" si="0"/>
        <v/>
      </c>
      <c r="AR16" t="str">
        <f t="shared" si="2"/>
        <v/>
      </c>
      <c r="AS16" t="str">
        <f t="shared" si="3"/>
        <v/>
      </c>
      <c r="AT16">
        <f t="shared" si="4"/>
        <v>-3.8774656488224299</v>
      </c>
      <c r="AU16" t="str">
        <f t="shared" si="5"/>
        <v/>
      </c>
      <c r="AV16" s="8">
        <f>AF47</f>
        <v>-3.8774656488224299</v>
      </c>
    </row>
    <row r="17" spans="1:48">
      <c r="A17">
        <v>1</v>
      </c>
      <c r="B17" s="8"/>
      <c r="C17" s="8"/>
      <c r="D17" s="18">
        <f>SQRT(SUMPRODUCT(QW_2008*(QTYJAN-D3)^2)/(SUM(QW_2008)*(QN8_-1)/QN8_))</f>
        <v>3.9497454462547044E-3</v>
      </c>
      <c r="E17" s="11">
        <f>SQRT(SUMPRODUCT(QW_2009*(QTYJAN-E3)^2)/(SUM(QW_2009)*(QN9_-1)/QN9_))</f>
        <v>2.9690124211342397E-2</v>
      </c>
      <c r="F17" s="11">
        <f>SQRT(SUMPRODUCT(QW_2010*(QTYJAN-F3)^2)/(SUM(QW_2010)*(QN10_-1)/QN10_))</f>
        <v>2.3771005944480471E-2</v>
      </c>
      <c r="G17" s="11">
        <f>SQRT(SUMPRODUCT(QW_2011*(QTYJAN-G3)^2)/(SUM(QW_2011)*(QN11_-1)/QN11_))</f>
        <v>1.9368866124898035E-2</v>
      </c>
      <c r="H17" s="11">
        <f>SQRT(SUMPRODUCT(QW_2012*(QTYJAN-H3)^2)/(SUM(QW_2012)*(QN12_-1)/QN12_))</f>
        <v>6.1269954507368982E-2</v>
      </c>
      <c r="I17" s="11">
        <f>SQRT(SUMPRODUCT(QW_2013*(QTYJAN-I3)^2)/(SUM(QW_2013)*(QN13_-1)/QN13_))</f>
        <v>6.0820509636433498E-2</v>
      </c>
      <c r="J17" s="19">
        <f>SQRT(SUMPRODUCT(QW_2014*(QTYJAN-J3)^2)/(SUM(QW_2014)*(QN14_-1)/QN14_))</f>
        <v>5.3178471383043706E-2</v>
      </c>
      <c r="K17" s="19">
        <f>SQRT(SUMPRODUCT(QW_2015*(QTYJAN-K3)^2)/(SUM(QW_2015)*(QN15_-1)/QN15_))</f>
        <v>4.8174574666380525E-2</v>
      </c>
      <c r="L17" s="19">
        <f>SQRT(SUMPRODUCT(QW_2016*(QTYJAN-L3)^2)/(SUM(QW_2016)*(QN16_-1)/QN16_))</f>
        <v>4.8883897298921279E-2</v>
      </c>
      <c r="N17" s="11"/>
      <c r="O17" s="11"/>
      <c r="Q17">
        <v>1</v>
      </c>
      <c r="R17" s="3"/>
      <c r="S17" s="3"/>
      <c r="T17" s="19">
        <f>SQRT(SUMPRODUCT(AN_2009*(ANJAN-T3)^2)/SUM(AN_2009)*(AN_09-1)/AN_09)</f>
        <v>5.4981609144830745E-3</v>
      </c>
      <c r="U17" s="19">
        <f>SQRT(SUMPRODUCT(AN_2010*(ANJAN-U3)^2)/SUM(AN_2010)*(AN_10-1)/AN_10)</f>
        <v>1.0990821792548712E-2</v>
      </c>
      <c r="V17" s="19">
        <f>SQRT(SUMPRODUCT(AN_2011*(ANJAN-V3)^2)/SUM(AN_2011)*(AN_11-1)/AN_11)</f>
        <v>1.089519038668226E-2</v>
      </c>
      <c r="W17" s="19">
        <f>SQRT(SUMPRODUCT(AN_2012*(ANJAN-W3)^2)/SUM(AN_2012)*(AN_12-1)/AN_12)</f>
        <v>1.8901301246762883E-2</v>
      </c>
      <c r="X17" s="19">
        <f>SQRT(SUMPRODUCT(AN_2013*(ANJAN-X3)^2)/SUM(AN_2013)*(AN_13-1)/AN_13)</f>
        <v>1.8607550742789882E-2</v>
      </c>
      <c r="Y17" s="19">
        <f>SQRT(SUMPRODUCT(AN_2014*(ANJAN-Y3)^2)/SUM(AN_2014)*(AN_14-1)/AN_14)</f>
        <v>2.0148864694321922E-2</v>
      </c>
      <c r="Z17" s="19">
        <f>SQRT(SUMPRODUCT(AN_2015*(ANJAN-Z3)^2)/SUM(AN_2015)*(AN_15-1)/AN_15)</f>
        <v>1.8052003788172229E-2</v>
      </c>
      <c r="AA17" s="19">
        <f>SQRT(SUMPRODUCT(AN_2016*(ANJAN-AA3)^2)/(SUM(AN_2016)*(AN_16-1)/AN_16))</f>
        <v>2.7033951089332722E-2</v>
      </c>
      <c r="AB17" s="11"/>
      <c r="AO17" s="1">
        <v>39904</v>
      </c>
      <c r="AP17">
        <f>'Maize Price IPA-STEP 1'!D42</f>
        <v>16.790745395199941</v>
      </c>
      <c r="AQ17" t="str">
        <f t="shared" si="0"/>
        <v/>
      </c>
      <c r="AR17" t="str">
        <f t="shared" si="2"/>
        <v/>
      </c>
      <c r="AS17" t="str">
        <f t="shared" si="3"/>
        <v/>
      </c>
      <c r="AT17">
        <f t="shared" si="4"/>
        <v>-3.1718289173123586</v>
      </c>
      <c r="AU17" t="str">
        <f t="shared" si="5"/>
        <v/>
      </c>
      <c r="AV17" s="8">
        <f t="shared" si="6"/>
        <v>-3.1718289173123586</v>
      </c>
    </row>
    <row r="18" spans="1:48">
      <c r="A18">
        <v>2</v>
      </c>
      <c r="B18" s="8"/>
      <c r="C18" s="8"/>
      <c r="D18" s="18">
        <f>SQRT(SUMPRODUCT(QW_2008*(QTYFEB-D4)^2)/(SUM(QW_2008)*(QN8_-1)/QN8_))</f>
        <v>1.8067351641038194E-2</v>
      </c>
      <c r="E18" s="11">
        <f>SQRT(SUMPRODUCT(QW_2009*(QTYFEB-E4)^2)/(SUM(QW_2009)*(QN9_-1)/QN9_))</f>
        <v>1.115532975227018E-2</v>
      </c>
      <c r="F18" s="11">
        <f>SQRT(SUMPRODUCT(QW_2010*(QTYFEB-F4)^2)/(SUM(QW_2010)*(QN10_-1)/QN10_))</f>
        <v>1.8924251260005204E-2</v>
      </c>
      <c r="G18" s="11">
        <f>SQRT(SUMPRODUCT(QW_2011*(QTYFEB-G4)^2)/(SUM(QW_2011)*(QN11_-1)/QN11_))</f>
        <v>2.1830712088869487E-2</v>
      </c>
      <c r="H18" s="11">
        <f>SQRT(SUMPRODUCT(QW_2012*(QTYFEB-H4)^2)/(SUM(QW_2012)*(QN12_-1)/QN12_))</f>
        <v>6.9921192513643524E-2</v>
      </c>
      <c r="I18" s="11">
        <f>SQRT(SUMPRODUCT(QW_2013*(QTYFEB-I4)^2)/(SUM(QW_2013)*(QN13_-1)/QN13_))</f>
        <v>6.3775477256554761E-2</v>
      </c>
      <c r="J18" s="19">
        <f>SQRT(SUMPRODUCT(QW_2014*(QTYFEB-J4)^2)/(SUM(QW_2014)*(QN14_-1)/QN14_))</f>
        <v>5.9324060721728834E-2</v>
      </c>
      <c r="K18" s="19">
        <f>SQRT(SUMPRODUCT(QW_2015*(QTYFEB-K4)^2)/(SUM(QW_2015)*(QN15_-1)/QN15_))</f>
        <v>5.4747553369748785E-2</v>
      </c>
      <c r="L18" s="19">
        <f>SQRT(SUMPRODUCT(QW_2016*(QTYFEB-L4)^2)/(SUM(QW_2016)*(QN16_-1)/QN16_))</f>
        <v>5.1125425278613662E-2</v>
      </c>
      <c r="N18" s="11"/>
      <c r="O18" s="11"/>
      <c r="Q18">
        <v>2</v>
      </c>
      <c r="R18" s="3"/>
      <c r="S18" s="3"/>
      <c r="T18" s="19">
        <f>SQRT(SUMPRODUCT(AN_2009*(ANFEB-T4)^2)/SUM(AN_2009)*(AN_09-1)/AN_09)</f>
        <v>1.1182031338419958E-3</v>
      </c>
      <c r="U18" s="19">
        <f>SQRT(SUMPRODUCT(AN_2010*(ANFEB-U4)^2)/SUM(AN_2010)*(AN_10-1)/AN_10)</f>
        <v>9.1998048229517803E-3</v>
      </c>
      <c r="V18" s="19">
        <f>SQRT(SUMPRODUCT(AN_2011*(ANFEB-V4)^2)/SUM(AN_2011)*(AN_11-1)/AN_11)</f>
        <v>9.0865031874558123E-3</v>
      </c>
      <c r="W18" s="19">
        <f>SQRT(SUMPRODUCT(AN_2012*(ANFEB-W4)^2)/SUM(AN_2012)*(AN_12-1)/AN_12)</f>
        <v>2.0582860867849537E-2</v>
      </c>
      <c r="X18" s="19">
        <f>SQRT(SUMPRODUCT(AN_2013*(ANFEB-X4)^2)/SUM(AN_2013)*(AN_13-1)/AN_13)</f>
        <v>2.2860174646624733E-2</v>
      </c>
      <c r="Y18" s="19">
        <f>SQRT(SUMPRODUCT(AN_2014*(ANFEB-Y4)^2)/SUM(AN_2014)*(AN_14-1)/AN_14)</f>
        <v>2.2620432853470478E-2</v>
      </c>
      <c r="Z18" s="19">
        <f>SQRT(SUMPRODUCT(AN_2015*(ANFEB-Z4)^2)/SUM(AN_2015)*(AN_15-1)/AN_15)</f>
        <v>2.0157788835648855E-2</v>
      </c>
      <c r="AA18" s="19">
        <f>SQRT(SUMPRODUCT(AN_2016*(ANFEB-AA4)^2)/(SUM(AN_2016)*(AN_16-1)/AN_16))</f>
        <v>2.7210034864718929E-2</v>
      </c>
      <c r="AO18" s="1">
        <v>39934</v>
      </c>
      <c r="AP18">
        <f>'Maize Price IPA-STEP 1'!D43</f>
        <v>16.116844269907201</v>
      </c>
      <c r="AQ18" t="str">
        <f t="shared" si="0"/>
        <v/>
      </c>
      <c r="AR18" t="str">
        <f t="shared" si="2"/>
        <v/>
      </c>
      <c r="AS18" t="str">
        <f t="shared" si="3"/>
        <v/>
      </c>
      <c r="AT18">
        <f t="shared" si="4"/>
        <v>-1.0835650427878281</v>
      </c>
      <c r="AU18" t="str">
        <f t="shared" si="5"/>
        <v/>
      </c>
      <c r="AV18" s="8">
        <f t="shared" si="6"/>
        <v>-1.0835650427878281</v>
      </c>
    </row>
    <row r="19" spans="1:48">
      <c r="A19">
        <v>3</v>
      </c>
      <c r="B19" s="8"/>
      <c r="C19" s="8"/>
      <c r="D19" s="18">
        <f>SQRT(SUMPRODUCT(QW_2008*(QTYMAR-D5)^2)/(SUM(QW_2008)*(QN8_-1)/QN8_))</f>
        <v>5.5655526996511995E-2</v>
      </c>
      <c r="E19" s="11">
        <f>SQRT(SUMPRODUCT(QW_2009*(QTYMAR-E5)^2)/(SUM(QW_2009)*(QN9_-1)/QN9_))</f>
        <v>3.7657296146603313E-2</v>
      </c>
      <c r="F19" s="11">
        <f>SQRT(SUMPRODUCT(QW_2010*(QTYMAR-F5)^2)/(SUM(QW_2010)*(QN10_-1)/QN10_))</f>
        <v>3.3904944677506731E-2</v>
      </c>
      <c r="G19" s="11">
        <f>SQRT(SUMPRODUCT(QW_2011*(QTYMAR-G5)^2)/(SUM(QW_2011)*(QN11_-1)/QN11_))</f>
        <v>3.07179511266342E-2</v>
      </c>
      <c r="H19" s="11">
        <f>SQRT(SUMPRODUCT(QW_2012*(QTYMAR-H5)^2)/(SUM(QW_2012)*(QN12_-1)/QN12_))</f>
        <v>6.265205990965729E-2</v>
      </c>
      <c r="I19" s="11">
        <f>SQRT(SUMPRODUCT(QW_2013*(QTYMAR-I5)^2)/(SUM(QW_2013)*(QN13_-1)/QN13_))</f>
        <v>5.8717602709276728E-2</v>
      </c>
      <c r="J19" s="19">
        <f>SQRT(SUMPRODUCT(QW_2014*(QTYMAR-J5)^2)/(SUM(QW_2014)*(QN14_-1)/QN14_))</f>
        <v>5.4285211334787566E-2</v>
      </c>
      <c r="K19" s="19">
        <f>SQRT(SUMPRODUCT(QW_2015*(QTYMAR-K5)^2)/(SUM(QW_2015)*(QN15_-1)/QN15_))</f>
        <v>4.8198450948100775E-2</v>
      </c>
      <c r="L19" s="19">
        <f>SQRT(SUMPRODUCT(QW_2016*(QTYMAR-L5)^2)/(SUM(QW_2016)*(QN16_-1)/QN16_))</f>
        <v>4.4268755028679378E-2</v>
      </c>
      <c r="N19" s="11"/>
      <c r="O19" s="11"/>
      <c r="Q19">
        <v>3</v>
      </c>
      <c r="R19" s="3"/>
      <c r="S19" s="3"/>
      <c r="T19" s="19">
        <f>SQRT(SUMPRODUCT(AN_2009*(ANMAR-T5)^2)/SUM(AN_2009)*(AN_09-1)/AN_09)</f>
        <v>3.133893696546449E-3</v>
      </c>
      <c r="U19" s="19">
        <f>SQRT(SUMPRODUCT(AN_2010*(ANMAR-U5)^2)/SUM(AN_2010)*(AN_10-1)/AN_10)</f>
        <v>7.8999710814694514E-3</v>
      </c>
      <c r="V19" s="19">
        <f>SQRT(SUMPRODUCT(AN_2011*(ANMAR-V5)^2)/SUM(AN_2011)*(AN_11-1)/AN_11)</f>
        <v>1.1484005206070447E-2</v>
      </c>
      <c r="W19" s="19">
        <f>SQRT(SUMPRODUCT(AN_2012*(ANMAR-W5)^2)/SUM(AN_2012)*(AN_12-1)/AN_12)</f>
        <v>2.3354649153959871E-2</v>
      </c>
      <c r="X19" s="19">
        <f>SQRT(SUMPRODUCT(AN_2013*(ANMAR-X5)^2)/SUM(AN_2013)*(AN_13-1)/AN_13)</f>
        <v>2.4493029479304259E-2</v>
      </c>
      <c r="Y19" s="19">
        <f>SQRT(SUMPRODUCT(AN_2014*(ANMAR-Y5)^2)/SUM(AN_2014)*(AN_14-1)/AN_14)</f>
        <v>2.34927386556808E-2</v>
      </c>
      <c r="Z19" s="19">
        <f>SQRT(SUMPRODUCT(AN_2015*(ANMAR-Z5)^2)/SUM(AN_2015)*(AN_15-1)/AN_15)</f>
        <v>2.0935532392131279E-2</v>
      </c>
      <c r="AA19" s="19">
        <f>SQRT(SUMPRODUCT(AN_2016*(ANMAR-AA5)^2)/(SUM(AN_2016)*(AN_16-1)/AN_16))</f>
        <v>2.6251537208922718E-2</v>
      </c>
      <c r="AO19" s="1">
        <v>39965</v>
      </c>
      <c r="AP19">
        <f>'Maize Price IPA-STEP 1'!D44</f>
        <v>15.305836786574194</v>
      </c>
      <c r="AQ19" t="str">
        <f t="shared" si="0"/>
        <v/>
      </c>
      <c r="AR19" t="str">
        <f t="shared" si="2"/>
        <v/>
      </c>
      <c r="AS19" t="str">
        <f t="shared" si="3"/>
        <v/>
      </c>
      <c r="AT19">
        <f t="shared" si="4"/>
        <v>-1.5297453755707049</v>
      </c>
      <c r="AU19" t="str">
        <f t="shared" si="5"/>
        <v/>
      </c>
      <c r="AV19" s="8">
        <f t="shared" si="6"/>
        <v>-1.5297453755707049</v>
      </c>
    </row>
    <row r="20" spans="1:48">
      <c r="A20">
        <v>4</v>
      </c>
      <c r="B20" s="8"/>
      <c r="C20" s="8"/>
      <c r="D20" s="18">
        <f>SQRT(SUMPRODUCT(QW_2008*(QTYAPR-D6)^2)/(SUM(QW_2008)*(QN8_-1)/QN8_))</f>
        <v>4.9270403554425357E-2</v>
      </c>
      <c r="E20" s="11">
        <f>SQRT(SUMPRODUCT(QW_2009*(QTYAPR-E6)^2)/(SUM(QW_2009)*(QN9_-1)/QN9_))</f>
        <v>3.328791402262346E-2</v>
      </c>
      <c r="F20" s="11">
        <f>SQRT(SUMPRODUCT(QW_2010*(QTYAPR-F6)^2)/(SUM(QW_2010)*(QN10_-1)/QN10_))</f>
        <v>2.4562888121201699E-2</v>
      </c>
      <c r="G20" s="11">
        <f>SQRT(SUMPRODUCT(QW_2011*(QTYAPR-G6)^2)/(SUM(QW_2011)*(QN11_-1)/QN11_))</f>
        <v>2.5998494953457171E-2</v>
      </c>
      <c r="H20" s="11">
        <f>SQRT(SUMPRODUCT(QW_2012*(QTYAPR-H6)^2)/(SUM(QW_2012)*(QN12_-1)/QN12_))</f>
        <v>2.7054281952508575E-2</v>
      </c>
      <c r="I20" s="11">
        <f>SQRT(SUMPRODUCT(QW_2013*(QTYAPR-I6)^2)/(SUM(QW_2013)*(QN13_-1)/QN13_))</f>
        <v>3.6692684554006344E-2</v>
      </c>
      <c r="J20" s="19">
        <f>SQRT(SUMPRODUCT(QW_2014*(QTYAPR-J6)^2)/(SUM(QW_2014)*(QN14_-1)/QN14_))</f>
        <v>3.2298698250523505E-2</v>
      </c>
      <c r="K20" s="19">
        <f>SQRT(SUMPRODUCT(QW_2015*(QTYAPR-K6)^2)/(SUM(QW_2015)*(QN15_-1)/QN15_))</f>
        <v>2.9322738404805603E-2</v>
      </c>
      <c r="L20" s="19">
        <f>SQRT(SUMPRODUCT(QW_2016*(QTYAPR-L6)^2)/(SUM(QW_2016)*(QN16_-1)/QN16_))</f>
        <v>2.9871570249625636E-2</v>
      </c>
      <c r="N20" s="11"/>
      <c r="O20" s="11"/>
      <c r="Q20">
        <v>4</v>
      </c>
      <c r="R20" s="3"/>
      <c r="S20" s="3"/>
      <c r="T20" s="19">
        <f>SQRT(SUMPRODUCT(AN_2009*(ANAPR-T6)^2)/SUM(AN_2009)*(AN_09-1)/AN_09)</f>
        <v>4.2036814049152644E-3</v>
      </c>
      <c r="U20" s="19">
        <f>SQRT(SUMPRODUCT(AN_2010*(ANAPR-U6)^2)/SUM(AN_2010)*(AN_10-1)/AN_10)</f>
        <v>9.5003087017848115E-3</v>
      </c>
      <c r="V20" s="19">
        <f>SQRT(SUMPRODUCT(AN_2011*(ANAPR-V6)^2)/SUM(AN_2011)*(AN_11-1)/AN_11)</f>
        <v>1.1879889736066089E-2</v>
      </c>
      <c r="W20" s="19">
        <f>SQRT(SUMPRODUCT(AN_2012*(ANAPR-W6)^2)/SUM(AN_2012)*(AN_12-1)/AN_12)</f>
        <v>2.5558089800640997E-2</v>
      </c>
      <c r="X20" s="19">
        <f>SQRT(SUMPRODUCT(AN_2013*(ANAPR-X6)^2)/SUM(AN_2013)*(AN_13-1)/AN_13)</f>
        <v>2.8674833470097555E-2</v>
      </c>
      <c r="Y20" s="19">
        <f>SQRT(SUMPRODUCT(AN_2014*(ANAPR-Y6)^2)/SUM(AN_2014)*(AN_14-1)/AN_14)</f>
        <v>2.606256496141153E-2</v>
      </c>
      <c r="Z20" s="19">
        <f>SQRT(SUMPRODUCT(AN_2015*(ANAPR-Z6)^2)/SUM(AN_2015)*(AN_15-1)/AN_15)</f>
        <v>2.3227096947346225E-2</v>
      </c>
      <c r="AA20" s="19">
        <f>SQRT(SUMPRODUCT(AN_2016*(ANAPR-AA6)^2)/(SUM(AN_2016)*(AN_16-1)/AN_16))</f>
        <v>2.7743489771740949E-2</v>
      </c>
      <c r="AO20" s="1">
        <v>39995</v>
      </c>
      <c r="AP20">
        <f>'Maize Price IPA-STEP 1'!D45</f>
        <v>16.093807468688571</v>
      </c>
      <c r="AQ20" t="str">
        <f t="shared" si="0"/>
        <v/>
      </c>
      <c r="AR20" t="str">
        <f t="shared" si="2"/>
        <v/>
      </c>
      <c r="AS20" t="str">
        <f t="shared" si="3"/>
        <v/>
      </c>
      <c r="AT20" t="str">
        <f t="shared" si="4"/>
        <v/>
      </c>
      <c r="AU20">
        <f t="shared" si="5"/>
        <v>-0.82353358819853906</v>
      </c>
      <c r="AV20" s="8">
        <f t="shared" si="6"/>
        <v>-0.82353358819853906</v>
      </c>
    </row>
    <row r="21" spans="1:48">
      <c r="A21">
        <v>5</v>
      </c>
      <c r="B21" s="8"/>
      <c r="C21" s="8"/>
      <c r="D21" s="18">
        <f>SQRT(SUMPRODUCT(QW_2008*(QTYMAY-D7)^2)/(SUM(QW_2008)*(QN8_-1)/QN8_))</f>
        <v>5.0631173995891711E-2</v>
      </c>
      <c r="E21" s="11">
        <f>SQRT(SUMPRODUCT(QW_2009*(QTYMAY-E7)^2)/(SUM(QW_2009)*(QN9_-1)/QN9_))</f>
        <v>4.0493215873952854E-2</v>
      </c>
      <c r="F21" s="11">
        <f>SQRT(SUMPRODUCT(QW_2010*(QTYMAY-F7)^2)/(SUM(QW_2010)*(QN10_-1)/QN10_))</f>
        <v>3.2122510428738059E-2</v>
      </c>
      <c r="G21" s="11">
        <f>SQRT(SUMPRODUCT(QW_2011*(QTYMAY-G7)^2)/(SUM(QW_2011)*(QN11_-1)/QN11_))</f>
        <v>3.5155193177463677E-2</v>
      </c>
      <c r="H21" s="11">
        <f>SQRT(SUMPRODUCT(QW_2012*(QTYMAY-H7)^2)/(SUM(QW_2012)*(QN12_-1)/QN12_))</f>
        <v>3.3447374928557476E-2</v>
      </c>
      <c r="I21" s="11">
        <f>SQRT(SUMPRODUCT(QW_2013*(QTYMAY-I7)^2)/(SUM(QW_2013)*(QN13_-1)/QN13_))</f>
        <v>3.9261789895635918E-2</v>
      </c>
      <c r="J21" s="19">
        <f>SQRT(SUMPRODUCT(QW_2014*(QTYMAY-J7)^2)/SUM(QW_2014)*(QN14_-1)/QN14_)</f>
        <v>3.0084001116076911E-2</v>
      </c>
      <c r="K21" s="19">
        <f>SQRT(SUMPRODUCT(QW_2015*(QTYMAY-K7)^2)/SUM(QW_2015)*(QN15_-1)/QN15_)</f>
        <v>2.7467356773005509E-2</v>
      </c>
      <c r="L21" s="19">
        <f>SQRT(SUMPRODUCT(QW_2016*(QTYMAY-L7)^2)/SUM(QW_2016)*(QN16_-1)/QN16_)</f>
        <v>2.7398042165574402E-2</v>
      </c>
      <c r="N21" s="11"/>
      <c r="O21" s="11"/>
      <c r="Q21">
        <v>5</v>
      </c>
      <c r="R21" s="3"/>
      <c r="S21" s="3"/>
      <c r="T21" s="19">
        <f>SQRT(SUMPRODUCT(AN_2009*(ANMAY-T7)^2)/SUM(AN_2009)*(AN_09-1)/AN_09)</f>
        <v>1.2557968759902189E-2</v>
      </c>
      <c r="U21" s="19">
        <f>SQRT(SUMPRODUCT(AN_2010*(ANMAY-U7)^2)/SUM(AN_2010)*(AN_10-1)/AN_10)</f>
        <v>1.2637350584914879E-2</v>
      </c>
      <c r="V21" s="19">
        <f>SQRT(SUMPRODUCT(AN_2011*(ANMAY-V7)^2)/SUM(AN_2011)*(AN_11-1)/AN_11)</f>
        <v>1.2759542545835433E-2</v>
      </c>
      <c r="W21" s="19">
        <f>SQRT(SUMPRODUCT(AN_2012*(ANMAY-W7)^2)/SUM(AN_2012)*(AN_12-1)/AN_12)</f>
        <v>2.9938944307062225E-2</v>
      </c>
      <c r="X21" s="19">
        <f>SQRT(SUMPRODUCT(AN_2013*(ANMAY-X7)^2)/SUM(AN_2013)*(AN_13-1)/AN_13)</f>
        <v>3.4801480959123283E-2</v>
      </c>
      <c r="Y21" s="19">
        <f>SQRT(SUMPRODUCT(AN_2014*(ANMAY-Y7)^2)/SUM(AN_2014)*(AN_14-1)/AN_14)</f>
        <v>3.101363601417139E-2</v>
      </c>
      <c r="Z21" s="19">
        <f>SQRT(SUMPRODUCT(AN_2015*(ANMAY-Z7)^2)/SUM(AN_2015)*(AN_15-1)/AN_15)</f>
        <v>2.771036131884887E-2</v>
      </c>
      <c r="AA21" s="19">
        <f>SQRT(SUMPRODUCT(AN_2016*(ANMAY-AA7)^2)/(SUM(AN_2016)*(AN_16-1)/AN_16))</f>
        <v>3.1164450024803458E-2</v>
      </c>
      <c r="AO21" s="1">
        <v>40026</v>
      </c>
      <c r="AP21">
        <f>'Maize Price IPA-STEP 1'!D46</f>
        <v>15.919925608277588</v>
      </c>
      <c r="AQ21" t="str">
        <f t="shared" si="0"/>
        <v/>
      </c>
      <c r="AR21" t="str">
        <f t="shared" si="2"/>
        <v/>
      </c>
      <c r="AS21" t="str">
        <f t="shared" si="3"/>
        <v/>
      </c>
      <c r="AT21" t="str">
        <f t="shared" si="4"/>
        <v/>
      </c>
      <c r="AU21">
        <f t="shared" si="5"/>
        <v>-0.90247663830691049</v>
      </c>
      <c r="AV21" s="8">
        <f t="shared" si="6"/>
        <v>-0.90247663830691049</v>
      </c>
    </row>
    <row r="22" spans="1:48">
      <c r="A22">
        <v>6</v>
      </c>
      <c r="B22" s="8"/>
      <c r="C22" s="8"/>
      <c r="D22" s="18">
        <f>SQRT(SUMPRODUCT(QW_2008*(QTYJUN-D8)^2)/(SUM(QW_2008)*(QN8_-1)/QN8_))</f>
        <v>6.5259435877915564E-2</v>
      </c>
      <c r="E22" s="11">
        <f>SQRT(SUMPRODUCT(QW_2009*(QTYJUN-E8)^2)/(SUM(QW_2009)*(QN9_-1)/QN9_))</f>
        <v>5.314734557027348E-2</v>
      </c>
      <c r="F22" s="11">
        <f>SQRT(SUMPRODUCT(QW_2010*(QTYJUN-F8)^2)/(SUM(QW_2010)*(QN10_-1)/QN10_))</f>
        <v>6.2233390868739358E-2</v>
      </c>
      <c r="G22" s="11">
        <f>SQRT(SUMPRODUCT(QW_2011*(QTYJUN-G8)^2)/(SUM(QW_2011)*(QN11_-1)/QN11_))</f>
        <v>5.1140577144804335E-2</v>
      </c>
      <c r="H22" s="11">
        <f>SQRT(SUMPRODUCT(QW_2012*(QTYJUN-H8)^2)/(SUM(QW_2012)*(QN12_-1)/QN12_))</f>
        <v>6.0072531458919692E-2</v>
      </c>
      <c r="I22" s="11">
        <f>SQRT(SUMPRODUCT(QW_2013*(QTYJUN-I8)^2)/(SUM(QW_2013)*(QN13_-1)/QN13_))</f>
        <v>6.1220657327963078E-2</v>
      </c>
      <c r="J22" s="19">
        <f>SQRT(SUMPRODUCT(QW_2014*(QTYJUN-J8)^2)/SUM(QW_2014)*(QN14_-1)/QN14_)</f>
        <v>4.6791467951236766E-2</v>
      </c>
      <c r="K22" s="19">
        <f>SQRT(SUMPRODUCT(QW_2015*(QTYJUN-K8)^2)/SUM(QW_2015)*(QN15_-1)/QN15_)</f>
        <v>4.4407118365074903E-2</v>
      </c>
      <c r="L22" s="19">
        <f>SQRT(SUMPRODUCT(QW_2016*(QTYJUN-L8)^2)/SUM(QW_2016)*(QN16_-1)/QN16_)</f>
        <v>4.2547706343072055E-2</v>
      </c>
      <c r="N22" s="11"/>
      <c r="O22" s="11"/>
      <c r="Q22">
        <v>6</v>
      </c>
      <c r="R22" s="3"/>
      <c r="S22" s="3"/>
      <c r="T22" s="19">
        <f>SQRT(SUMPRODUCT(AN_2009*(ANJUN-T8)^2)/SUM(AN_2009)*(AN_09-1)/AN_09)</f>
        <v>1.7931675396763692E-2</v>
      </c>
      <c r="U22" s="19">
        <f>SQRT(SUMPRODUCT(AN_2010*(ANJUN-U8)^2)/SUM(AN_2010)*(AN_10-1)/AN_10)</f>
        <v>1.8174244631514281E-2</v>
      </c>
      <c r="V22" s="19">
        <f>SQRT(SUMPRODUCT(AN_2011*(ANJUN-V8)^2)/SUM(AN_2011)*(AN_11-1)/AN_11)</f>
        <v>1.5145039334460968E-2</v>
      </c>
      <c r="W22" s="19">
        <f>SQRT(SUMPRODUCT(AN_2012*(ANJUN-W8)^2)/SUM(AN_2012)*(AN_12-1)/AN_12)</f>
        <v>3.6099722003863882E-2</v>
      </c>
      <c r="X22" s="19">
        <f>SQRT(SUMPRODUCT(AN_2013*(ANJUN-X8)^2)/SUM(AN_2013)*(AN_13-1)/AN_13)</f>
        <v>4.2746523901684236E-2</v>
      </c>
      <c r="Y22" s="19">
        <f>SQRT(SUMPRODUCT(AN_2014*(ANJUN-Y8)^2)/SUM(AN_2014)*(AN_14-1)/AN_14)</f>
        <v>3.765300722675146E-2</v>
      </c>
      <c r="Z22" s="19">
        <f>SQRT(SUMPRODUCT(AN_2015*(ANJUN-Z8)^2)/SUM(AN_2015)*(AN_15-1)/AN_15)</f>
        <v>3.3807241590787053E-2</v>
      </c>
      <c r="AA22" s="19">
        <f>SQRT(SUMPRODUCT(AN_2016*(ANJUN-AA8)^2)/(SUM(AN_2016)*(AN_16-1)/AN_16))</f>
        <v>3.512371101353455E-2</v>
      </c>
      <c r="AO22" s="1">
        <v>40057</v>
      </c>
      <c r="AP22">
        <f>'Maize Price IPA-STEP 1'!D47</f>
        <v>14.50854568227896</v>
      </c>
      <c r="AQ22" t="str">
        <f t="shared" si="0"/>
        <v/>
      </c>
      <c r="AR22" t="str">
        <f t="shared" si="2"/>
        <v/>
      </c>
      <c r="AS22" t="str">
        <f t="shared" si="3"/>
        <v/>
      </c>
      <c r="AT22" t="str">
        <f t="shared" si="4"/>
        <v/>
      </c>
      <c r="AU22">
        <f t="shared" si="5"/>
        <v>-0.88163549450631684</v>
      </c>
      <c r="AV22" s="8">
        <f t="shared" si="6"/>
        <v>-0.88163549450631684</v>
      </c>
    </row>
    <row r="23" spans="1:48">
      <c r="A23">
        <v>7</v>
      </c>
      <c r="B23" s="8"/>
      <c r="C23" s="8"/>
      <c r="D23" s="18">
        <f>SQRT(SUMPRODUCT(QW_2008*(QTYJUL-D9)^2)/(SUM(QW_2008)*(QN8_-1)/QN8_))</f>
        <v>7.3611501056917383E-2</v>
      </c>
      <c r="E23" s="11">
        <f>SQRT(SUMPRODUCT(QW_2009*(QTYJUL-E9)^2)/(SUM(QW_2009)*(QN9_-1)/QN9_))</f>
        <v>6.5673766676404885E-2</v>
      </c>
      <c r="F23" s="11">
        <f>SQRT(SUMPRODUCT(QW_2010*(QTYJUL-F9)^2)/(SUM(QW_2010)*(QN10_-1)/QN10_))</f>
        <v>5.806236134461807E-2</v>
      </c>
      <c r="G23" s="11">
        <f>SQRT(SUMPRODUCT(QW_2011*(QTYJUL-G9)^2)/(SUM(QW_2011)*(QN11_-1)/QN11_))</f>
        <v>4.6077604676015939E-2</v>
      </c>
      <c r="H23" s="11">
        <f>SQRT(SUMPRODUCT(QW_2012*(QTYJUL-H9)^2)/(SUM(QW_2012)*(QN12_-1)/QN12_))</f>
        <v>4.3301115662197083E-2</v>
      </c>
      <c r="I23" s="11">
        <f>SQRT(SUMPRODUCT(QW_2013*(QTYJUL-I9)^2)/(SUM(QW_2013)*(QN13_-1)/QN13_))</f>
        <v>4.3239869937665071E-2</v>
      </c>
      <c r="J23" s="19">
        <f>SQRT(SUMPRODUCT(QW_2014*(QTYJUL-J9)^2)/SUM(QW_2014)*(QN14_-1)/QN14_)</f>
        <v>3.3036248882362181E-2</v>
      </c>
      <c r="K23" s="19">
        <f>SQRT(SUMPRODUCT(QW_2015*(QTYJUL-K9)^2)/SUM(QW_2015)*(QN15_-1)/QN15_)</f>
        <v>4.4912457926218674E-2</v>
      </c>
      <c r="L23" s="19">
        <f>SQRT(SUMPRODUCT(QW_2016*(QTYJUL-L9)^2)/SUM(QW_2016)*(QN16_-1)/QN16_)</f>
        <v>4.1032744641755138E-2</v>
      </c>
      <c r="N23" s="11"/>
      <c r="O23" s="11"/>
      <c r="Q23">
        <v>7</v>
      </c>
      <c r="R23" s="3"/>
      <c r="S23" s="3"/>
      <c r="T23" s="19">
        <f>SQRT(SUMPRODUCT(AN_2009*(ANJUL-T9)^2)/SUM(AN_2009)*(AN_09-1)/AN_09)</f>
        <v>2.2141829134761887E-2</v>
      </c>
      <c r="U23" s="19">
        <f>SQRT(SUMPRODUCT(AN_2010*(ANJUL-U9)^2)/SUM(AN_2010)*(AN_10-1)/AN_10)</f>
        <v>1.9422434192335674E-2</v>
      </c>
      <c r="V23" s="19">
        <f>SQRT(SUMPRODUCT(AN_2011*(ANJUL-V9)^2)/SUM(AN_2011)*(AN_11-1)/AN_11)</f>
        <v>1.6042529237714653E-2</v>
      </c>
      <c r="W23" s="19">
        <f>SQRT(SUMPRODUCT(AN_2012*(ANJUL-W9)^2)/SUM(AN_2012)*(AN_12-1)/AN_12)</f>
        <v>3.0513506922283051E-2</v>
      </c>
      <c r="X23" s="19">
        <f>SQRT(SUMPRODUCT(AN_2013*(ANJUL-X9)^2)/SUM(AN_2013)*(AN_13-1)/AN_13)</f>
        <v>3.7763479799656004E-2</v>
      </c>
      <c r="Y23" s="19">
        <f>SQRT(SUMPRODUCT(AN_2014*(ANJUL-Y9)^2)/SUM(AN_2014)*(AN_14-1)/AN_14)</f>
        <v>3.3239861550864364E-2</v>
      </c>
      <c r="Z23" s="19">
        <f>SQRT(SUMPRODUCT(AN_2015*(ANJUL-Z9)^2)/SUM(AN_2015)*(AN_15-1)/AN_15)</f>
        <v>3.0910550257761137E-2</v>
      </c>
      <c r="AA23" s="19">
        <f>SQRT(SUMPRODUCT(AN_2016*(ANJUL-AA9)^2)/(SUM(AN_2016)*(AN_16-1)/AN_16))</f>
        <v>3.1668083734084633E-2</v>
      </c>
      <c r="AO23" s="1">
        <v>40087</v>
      </c>
      <c r="AP23">
        <f>'Maize Price IPA-STEP 1'!D48</f>
        <v>13.772847716055049</v>
      </c>
      <c r="AQ23" t="str">
        <f t="shared" si="0"/>
        <v/>
      </c>
      <c r="AR23" t="str">
        <f t="shared" si="2"/>
        <v/>
      </c>
      <c r="AS23" t="str">
        <f t="shared" si="3"/>
        <v/>
      </c>
      <c r="AT23" t="str">
        <f t="shared" si="4"/>
        <v/>
      </c>
      <c r="AU23">
        <f t="shared" si="5"/>
        <v>-0.99864213652766942</v>
      </c>
      <c r="AV23" s="8">
        <f t="shared" si="6"/>
        <v>-0.99864213652766942</v>
      </c>
    </row>
    <row r="24" spans="1:48">
      <c r="A24">
        <v>8</v>
      </c>
      <c r="B24" s="8"/>
      <c r="C24" s="8"/>
      <c r="D24" s="18">
        <f>SQRT(SUMPRODUCT(QW_2008*(QTYAUG-D10)^2)/(SUM(QW_2008)*(QN8_-1)/QN8_))</f>
        <v>2.7466739440466625E-2</v>
      </c>
      <c r="E24" s="11">
        <f>SQRT(SUMPRODUCT(QW_2009*(QTYAUG-E10)^2)/(SUM(QW_2009)*(QN9_-1)/QN9_))</f>
        <v>2.677854031121616E-2</v>
      </c>
      <c r="F24" s="11">
        <f>SQRT(SUMPRODUCT(QW_2010*(QTYAUG-F10)^2)/(SUM(QW_2010)*(QN10_-1)/QN10_))</f>
        <v>2.4882727012523469E-2</v>
      </c>
      <c r="G24" s="11">
        <f>SQRT(SUMPRODUCT(QW_2011*(QTYAUG-G10)^2)/(SUM(QW_2011)*(QN11_-1)/QN11_))</f>
        <v>2.6751234624399895E-2</v>
      </c>
      <c r="H24" s="11">
        <f>SQRT(SUMPRODUCT(QW_2012*(QTYAUG-H10)^2)/(SUM(QW_2012)*(QN12_-1)/QN12_))</f>
        <v>2.5071247398293767E-2</v>
      </c>
      <c r="I24" s="11">
        <f>SQRT(SUMPRODUCT(QW_2013*(QTYAUG-I10)^2)/(SUM(QW_2013)*(QN13_-1)/QN13_))</f>
        <v>2.1763540731377675E-2</v>
      </c>
      <c r="J24" s="19">
        <f>SQRT(SUMPRODUCT(QW_2014*(QTYAUG-J10)^2)/SUM(QW_2014)*(QN14_-1)/QN14_)</f>
        <v>1.6670541435384215E-2</v>
      </c>
      <c r="K24" s="19">
        <f>SQRT(SUMPRODUCT(QW_2015*(QTYAUG-K10)^2)/SUM(QW_2015)*(QN15_-1)/QN15_)</f>
        <v>4.6255945639500279E-2</v>
      </c>
      <c r="L24" s="19">
        <f>SQRT(SUMPRODUCT(QW_2016*(QTYAUG-L10)^2)/SUM(QW_2016)*(QN16_-1)/QN16_)</f>
        <v>4.4317705444811319E-2</v>
      </c>
      <c r="N24" s="11"/>
      <c r="O24" s="11"/>
      <c r="Q24">
        <v>8</v>
      </c>
      <c r="R24" s="3"/>
      <c r="S24" s="3"/>
      <c r="T24" s="19">
        <f>SQRT(SUMPRODUCT(AN_2009*(ANAUG-T10)^2)/SUM(AN_2009)*(AN_09-1)/AN_09)</f>
        <v>1.9839393664255689E-2</v>
      </c>
      <c r="U24" s="19">
        <f>SQRT(SUMPRODUCT(AN_2010*(ANAUG-U10)^2)/SUM(AN_2010)*(AN_10-1)/AN_10)</f>
        <v>1.7529141509397366E-2</v>
      </c>
      <c r="V24" s="19">
        <f>SQRT(SUMPRODUCT(AN_2011*(ANAUG-V10)^2)/SUM(AN_2011)*(AN_11-1)/AN_11)</f>
        <v>1.4422979696119579E-2</v>
      </c>
      <c r="W24" s="19">
        <f>SQRT(SUMPRODUCT(AN_2012*(ANAUG-W10)^2)/SUM(AN_2012)*(AN_12-1)/AN_12)</f>
        <v>2.9433694788022675E-2</v>
      </c>
      <c r="X24" s="19">
        <f>SQRT(SUMPRODUCT(AN_2013*(ANAUG-X10)^2)/SUM(AN_2013)*(AN_13-1)/AN_13)</f>
        <v>3.6743931575556096E-2</v>
      </c>
      <c r="Y24" s="19">
        <f>SQRT(SUMPRODUCT(AN_2014*(ANAUG-Y10)^2)/SUM(AN_2014)*(AN_14-1)/AN_14)</f>
        <v>3.2548710545706051E-2</v>
      </c>
      <c r="Z24" s="19">
        <f>SQRT(SUMPRODUCT(AN_2015*(ANAUG-Z10)^2)/SUM(AN_2015)*(AN_15-1)/AN_15)</f>
        <v>3.1455369898708563E-2</v>
      </c>
      <c r="AA24" s="19">
        <f>SQRT(SUMPRODUCT(AN_2016*(ANAUG-AA10)^2)/(SUM(AN_2016)*(AN_16-1)/AN_16))</f>
        <v>3.1975026881719208E-2</v>
      </c>
      <c r="AO24" s="1">
        <v>40118</v>
      </c>
      <c r="AP24">
        <f>'Maize Price IPA-STEP 1'!D49</f>
        <v>14.124407215627997</v>
      </c>
      <c r="AQ24">
        <f t="shared" si="0"/>
        <v>2.7308543733782997</v>
      </c>
      <c r="AR24" t="str">
        <f t="shared" si="2"/>
        <v/>
      </c>
      <c r="AS24" t="str">
        <f t="shared" si="3"/>
        <v/>
      </c>
      <c r="AT24" t="str">
        <f t="shared" si="4"/>
        <v/>
      </c>
      <c r="AU24" t="str">
        <f t="shared" si="5"/>
        <v/>
      </c>
      <c r="AV24" s="8">
        <f t="shared" si="6"/>
        <v>2.7308543733782997</v>
      </c>
    </row>
    <row r="25" spans="1:48">
      <c r="A25">
        <v>9</v>
      </c>
      <c r="B25" s="8"/>
      <c r="C25" s="8"/>
      <c r="D25" s="18">
        <f>SQRT(SUMPRODUCT(QW_2008*(QTYSEP-D11)^2)/(SUM(QW_2008)*(QN8_-1)/QN8_))</f>
        <v>9.5407102521614107E-3</v>
      </c>
      <c r="E25" s="11">
        <f>SQRT(SUMPRODUCT(QW_2009*(QTYSEP-E11)^2)/(SUM(QW_2009)*(QN9_-1)/QN9_))</f>
        <v>1.0417654820433532E-2</v>
      </c>
      <c r="F25" s="11">
        <f>SQRT(SUMPRODUCT(QW_2010*(QTYSEP-F11)^2)/(SUM(QW_2010)*(QN10_-1)/QN10_))</f>
        <v>7.7734343679735354E-3</v>
      </c>
      <c r="G25" s="11">
        <f>SQRT(SUMPRODUCT(QW_2011*(QTYSEP-G11)^2)/(SUM(QW_2011)*(QN11_-1)/QN11_))</f>
        <v>5.782604018745964E-2</v>
      </c>
      <c r="H25" s="11">
        <f>SQRT(SUMPRODUCT(QW_2012*(QTYSEP-H11)^2)/(SUM(QW_2012)*(QN12_-1)/QN12_))</f>
        <v>6.9408453101671194E-2</v>
      </c>
      <c r="I25" s="11">
        <f>SQRT(SUMPRODUCT(QW_2013*(QTYSEP-I11)^2)/(SUM(QW_2013)*(QN13_-1)/QN13_))</f>
        <v>5.9416380288392981E-2</v>
      </c>
      <c r="J25" s="19">
        <f>SQRT(SUMPRODUCT(QW_2014*(QTYSEP-J11)^2)/SUM(QW_2014)*(QN14_-1)/QN14_)</f>
        <v>4.5819144265377337E-2</v>
      </c>
      <c r="K25" s="19">
        <f>SQRT(SUMPRODUCT(QW_2015*(QTYSEP-K11)^2)/SUM(QW_2015)*(QN15_-1)/QN15_)</f>
        <v>4.4257864854523023E-2</v>
      </c>
      <c r="L25" s="19">
        <f>SQRT(SUMPRODUCT(QW_2016*(QTYSEP-L11)^2)/SUM(QW_2016)*(QN16_-1)/QN16_)</f>
        <v>4.0293648212141223E-2</v>
      </c>
      <c r="N25" s="11"/>
      <c r="O25" s="11"/>
      <c r="Q25">
        <v>9</v>
      </c>
      <c r="R25" s="3"/>
      <c r="S25" s="3"/>
      <c r="T25" s="19">
        <f>SQRT(SUMPRODUCT(AN_2009*(ANSEP-T11)^2)/SUM(AN_2009)*(AN_09-1)/AN_09)</f>
        <v>1.7463645427159166E-2</v>
      </c>
      <c r="U25" s="19">
        <f>SQRT(SUMPRODUCT(AN_2010*(ANSEP-U11)^2)/SUM(AN_2010)*(AN_10-1)/AN_10)</f>
        <v>1.6963611120209828E-2</v>
      </c>
      <c r="V25" s="19">
        <f>SQRT(SUMPRODUCT(AN_2011*(ANSEP-V11)^2)/SUM(AN_2011)*(AN_11-1)/AN_11)</f>
        <v>1.6692461638966514E-2</v>
      </c>
      <c r="W25" s="19">
        <f>SQRT(SUMPRODUCT(AN_2012*(ANSEP-W11)^2)/SUM(AN_2012)*(AN_12-1)/AN_12)</f>
        <v>1.7430130273247475E-2</v>
      </c>
      <c r="X25" s="19">
        <f>SQRT(SUMPRODUCT(AN_2013*(ANSEP-X11)^2)/SUM(AN_2013)*(AN_13-1)/AN_13)</f>
        <v>2.4414710922429195E-2</v>
      </c>
      <c r="Y25" s="19">
        <f>SQRT(SUMPRODUCT(AN_2014*(ANSEP-Y11)^2)/SUM(AN_2014)*(AN_14-1)/AN_14)</f>
        <v>2.1443698737176539E-2</v>
      </c>
      <c r="Z25" s="19">
        <f>SQRT(SUMPRODUCT(AN_2015*(ANSEP-Z11)^2)/SUM(AN_2015)*(AN_15-1)/AN_15)</f>
        <v>2.0299425053721246E-2</v>
      </c>
      <c r="AA25" s="19">
        <f>SQRT(SUMPRODUCT(AN_2016*(ANSEP-AA11)^2)/(SUM(AN_2016)*(AN_16-1)/AN_16))</f>
        <v>2.0801452436492378E-2</v>
      </c>
      <c r="AO25" s="1">
        <v>40148</v>
      </c>
      <c r="AP25">
        <f>'Maize Price IPA-STEP 1'!D50</f>
        <v>13.233117333333288</v>
      </c>
      <c r="AQ25" t="str">
        <f t="shared" si="0"/>
        <v/>
      </c>
      <c r="AR25" t="str">
        <f t="shared" si="2"/>
        <v/>
      </c>
      <c r="AS25" t="str">
        <f t="shared" si="3"/>
        <v/>
      </c>
      <c r="AT25">
        <f t="shared" si="4"/>
        <v>-1.6335383516450976</v>
      </c>
      <c r="AU25" t="str">
        <f t="shared" si="5"/>
        <v/>
      </c>
      <c r="AV25" s="8">
        <f t="shared" si="6"/>
        <v>-1.6335383516450976</v>
      </c>
    </row>
    <row r="26" spans="1:48">
      <c r="A26">
        <v>10</v>
      </c>
      <c r="B26" s="8"/>
      <c r="C26" s="8"/>
      <c r="D26" s="18">
        <f>SQRT(SUMPRODUCT(QW_2008*(QTYOCT-D12)^2)/(SUM(QW_2008)*(QN8_-1)/QN8_))</f>
        <v>3.9429841353172103E-2</v>
      </c>
      <c r="E26" s="11">
        <f>SQRT(SUMPRODUCT(QW_2009*(QTYOCT-E12)^2)/(SUM(QW_2009)*(QN9_-1)/QN9_))</f>
        <v>2.4333542552217407E-2</v>
      </c>
      <c r="F26" s="11">
        <f>SQRT(SUMPRODUCT(QW_2010*(QTYOCT-F12)^2)/(SUM(QW_2010)*(QN10_-1)/QN10_))</f>
        <v>1.8897342329273144E-2</v>
      </c>
      <c r="G26" s="11">
        <f>SQRT(SUMPRODUCT(QW_2011*(QTYOCT-G12)^2)/(SUM(QW_2011)*(QN11_-1)/QN11_))</f>
        <v>3.335951139233137E-2</v>
      </c>
      <c r="H26" s="11">
        <f>SQRT(SUMPRODUCT(QW_2012*(QTYOCT-H12)^2)/(SUM(QW_2012)*(QN12_-1)/QN12_))</f>
        <v>4.9213867260710843E-2</v>
      </c>
      <c r="I26" s="11">
        <f>SQRT(SUMPRODUCT(QW_2013*(QTYOCT-I12)^2)/(SUM(QW_2013)*(QN13_-1)/QN13_))</f>
        <v>4.2150324832069257E-2</v>
      </c>
      <c r="J26" s="19">
        <f>SQRT(SUMPRODUCT(QW_2014*(QTYOCT-J12)^2)/SUM(QW_2014)*(QN14_-1)/QN14_)</f>
        <v>3.2542518863938594E-2</v>
      </c>
      <c r="K26" s="19">
        <f>SQRT(SUMPRODUCT(QW_2015*(QTYOCT-K12)^2)/SUM(QW_2015)*(QN15_-1)/QN15_)</f>
        <v>3.1123842402504574E-2</v>
      </c>
      <c r="L26" s="19">
        <f>SQRT(SUMPRODUCT(QW_2016*(QTYOCT-L12)^2)/SUM(QW_2016)*(QN16_-1)/QN16_)</f>
        <v>2.8676760793855754E-2</v>
      </c>
      <c r="N26" s="11"/>
      <c r="O26" s="11"/>
      <c r="Q26">
        <v>10</v>
      </c>
      <c r="R26" s="3"/>
      <c r="S26" s="3"/>
      <c r="T26" s="19">
        <f>SQRT(SUMPRODUCT(AN_2009*(ANOCT-T12)^2)/SUM(AN_2009)*(AN_09-1)/AN_09)</f>
        <v>1.4711694460100417E-2</v>
      </c>
      <c r="U26" s="19">
        <f>SQRT(SUMPRODUCT(AN_2010*(ANOCT-U12)^2)/SUM(AN_2010)*(AN_10-1)/AN_10)</f>
        <v>1.450292357629432E-2</v>
      </c>
      <c r="V26" s="19">
        <f>SQRT(SUMPRODUCT(AN_2011*(ANOCT-V12)^2)/SUM(AN_2011)*(AN_11-1)/AN_11)</f>
        <v>1.3424036153001069E-2</v>
      </c>
      <c r="W26" s="19">
        <f>SQRT(SUMPRODUCT(AN_2012*(ANOCT-W12)^2)/SUM(AN_2012)*(AN_12-1)/AN_12)</f>
        <v>1.6023771624614984E-2</v>
      </c>
      <c r="X26" s="19">
        <f>SQRT(SUMPRODUCT(AN_2013*(ANOCT-X12)^2)/SUM(AN_2013)*(AN_13-1)/AN_13)</f>
        <v>2.3004276635742765E-2</v>
      </c>
      <c r="Y26" s="19">
        <f>SQRT(SUMPRODUCT(AN_2014*(ANOCT-Y12)^2)/SUM(AN_2014)*(AN_14-1)/AN_14)</f>
        <v>2.0206590368627649E-2</v>
      </c>
      <c r="Z26" s="19">
        <f>SQRT(SUMPRODUCT(AN_2015*(ANOCT-Z12)^2)/SUM(AN_2015)*(AN_15-1)/AN_15)</f>
        <v>2.0943492580969687E-2</v>
      </c>
      <c r="AA26" s="19">
        <f>SQRT(SUMPRODUCT(AN_2016*(ANOCT-AA12)^2)/(SUM(AN_2016)*(AN_16-1)/AN_16))</f>
        <v>2.1242018138682803E-2</v>
      </c>
      <c r="AO26" s="1">
        <v>40179</v>
      </c>
      <c r="AP26">
        <f>'Maize Price IPA-STEP 1'!D51</f>
        <v>12.722219567237451</v>
      </c>
      <c r="AQ26" t="str">
        <f t="shared" si="0"/>
        <v/>
      </c>
      <c r="AR26" t="str">
        <f t="shared" si="2"/>
        <v/>
      </c>
      <c r="AS26" t="str">
        <f t="shared" si="3"/>
        <v/>
      </c>
      <c r="AT26" t="str">
        <f t="shared" si="4"/>
        <v/>
      </c>
      <c r="AU26">
        <f t="shared" si="5"/>
        <v>-0.63472190546288187</v>
      </c>
      <c r="AV26" s="8">
        <f t="shared" ref="AV26:AV37" si="7">AG45</f>
        <v>-0.63472190546288187</v>
      </c>
    </row>
    <row r="27" spans="1:48">
      <c r="A27">
        <v>11</v>
      </c>
      <c r="B27" s="8"/>
      <c r="C27" s="8"/>
      <c r="D27" s="18">
        <f>SQRT(SUMPRODUCT(QW_2008*(QTYNOV-D13)^2)/(SUM(QW_2008)*(QN8_-1)/QN8_))</f>
        <v>7.1494192561623482E-2</v>
      </c>
      <c r="E27" s="11">
        <f>SQRT(SUMPRODUCT(QW_2009*(QTYNOV-E13)^2)/(SUM(QW_2009)*(QN9_-1)/QN9_))</f>
        <v>4.4578214466054991E-2</v>
      </c>
      <c r="F27" s="11">
        <f>SQRT(SUMPRODUCT(QW_2010*(QTYNOV-F13)^2)/(SUM(QW_2010)*(QN10_-1)/QN10_))</f>
        <v>3.5830467223542474E-2</v>
      </c>
      <c r="G27" s="11">
        <f>SQRT(SUMPRODUCT(QW_2011*(QTYNOV-G13)^2)/(SUM(QW_2011)*(QN11_-1)/QN11_))</f>
        <v>4.0596941558980804E-2</v>
      </c>
      <c r="H27" s="11">
        <f>SQRT(SUMPRODUCT(QW_2012*(QTYNOV-H13)^2)/(SUM(QW_2012)*(QN12_-1)/QN12_))</f>
        <v>7.2912151310041765E-2</v>
      </c>
      <c r="I27" s="11">
        <f>SQRT(SUMPRODUCT(QW_2013*(QTYNOV-I13)^2)/(SUM(QW_2013)*(QN13_-1)/QN13_))</f>
        <v>6.2284530256626447E-2</v>
      </c>
      <c r="J27" s="19">
        <f>SQRT(SUMPRODUCT(QW_2014*(QTYNOV-J13)^2)/SUM(QW_2014)*(QN14_-1)/QN14_)</f>
        <v>4.9573623653231022E-2</v>
      </c>
      <c r="K27" s="19">
        <f>SQRT(SUMPRODUCT(QW_2015*(QTYNOV-K13)^2)/SUM(QW_2015)*(QN15_-1)/QN15_)</f>
        <v>4.4875189137091986E-2</v>
      </c>
      <c r="L27" s="19">
        <f>SQRT(SUMPRODUCT(QW_2016*(QTYNOV-L13)^2)/SUM(QW_2016)*(QN16_-1)/QN16_)</f>
        <v>4.1934108635335893E-2</v>
      </c>
      <c r="N27" s="11"/>
      <c r="O27" s="11"/>
      <c r="Q27">
        <v>11</v>
      </c>
      <c r="R27" s="3"/>
      <c r="S27" s="3"/>
      <c r="T27" s="19">
        <f>SQRT(SUMPRODUCT(AN_2009*(ANNOV-T13)^2)/SUM(AN_2009)*(AN_09-1)/AN_09)</f>
        <v>1.6484023397407139E-2</v>
      </c>
      <c r="U27" s="19">
        <f>SQRT(SUMPRODUCT(AN_2010*(ANNOV-U13)^2)/SUM(AN_2010)*(AN_10-1)/AN_10)</f>
        <v>1.9954938366559018E-2</v>
      </c>
      <c r="V27" s="19">
        <f>SQRT(SUMPRODUCT(AN_2011*(ANNOV-V13)^2)/SUM(AN_2011)*(AN_11-1)/AN_11)</f>
        <v>2.9338868431261701E-2</v>
      </c>
      <c r="W27" s="19">
        <f>SQRT(SUMPRODUCT(AN_2012*(ANNOV-W13)^2)/SUM(AN_2012)*(AN_12-1)/AN_12)</f>
        <v>6.1337887183388951E-2</v>
      </c>
      <c r="X27" s="19">
        <f>SQRT(SUMPRODUCT(AN_2013*(ANNOV-X13)^2)/SUM(AN_2013)*(AN_13-1)/AN_13)</f>
        <v>5.3020422672319552E-2</v>
      </c>
      <c r="Y27" s="19">
        <f>SQRT(SUMPRODUCT(AN_2014*(ANNOV-Y13)^2)/SUM(AN_2014)*(AN_14-1)/AN_14)</f>
        <v>4.9129681314706367E-2</v>
      </c>
      <c r="Z27" s="19">
        <f>SQRT(SUMPRODUCT(AN_2015*(ANNOV-Z13)^2)/SUM(AN_2015)*(AN_15-1)/AN_15)</f>
        <v>5.5800681792529803E-2</v>
      </c>
      <c r="AA27" s="19">
        <f>SQRT(SUMPRODUCT(AN_2016*(ANNOV-AA13)^2)/(SUM(AN_2016)*(AN_16-1)/AN_16))</f>
        <v>6.0272007517943739E-2</v>
      </c>
      <c r="AO27" s="1">
        <v>40210</v>
      </c>
      <c r="AP27">
        <f>'Maize Price IPA-STEP 1'!D52</f>
        <v>13.077699777932406</v>
      </c>
      <c r="AQ27" t="str">
        <f t="shared" si="0"/>
        <v/>
      </c>
      <c r="AR27" t="str">
        <f t="shared" si="2"/>
        <v/>
      </c>
      <c r="AS27" t="str">
        <f t="shared" si="3"/>
        <v/>
      </c>
      <c r="AT27">
        <f t="shared" si="4"/>
        <v>-1.4128537538569035</v>
      </c>
      <c r="AU27" t="str">
        <f t="shared" si="5"/>
        <v/>
      </c>
      <c r="AV27" s="8">
        <f t="shared" si="7"/>
        <v>-1.4128537538569035</v>
      </c>
    </row>
    <row r="28" spans="1:48">
      <c r="A28">
        <v>12</v>
      </c>
      <c r="B28" s="8"/>
      <c r="C28" s="8"/>
      <c r="D28" s="18">
        <f>SQRT(SUMPRODUCT(QW_2008*(QTYDEC-D14)^2)/(SUM(QW_2008)*(QN8_-1)/QN8_))</f>
        <v>3.946825738457467E-2</v>
      </c>
      <c r="E28" s="11">
        <f>SQRT(SUMPRODUCT(QW_2009*(QTYDEC-E14)^2)/(SUM(QW_2009)*(QN9_-1)/QN9_))</f>
        <v>3.0685447815534658E-2</v>
      </c>
      <c r="F28" s="11">
        <f>SQRT(SUMPRODUCT(QW_2010*(QTYDEC-F14)^2)/(SUM(QW_2010)*(QN10_-1)/QN10_))</f>
        <v>2.568315802173805E-2</v>
      </c>
      <c r="G28" s="11">
        <f>SQRT(SUMPRODUCT(QW_2011*(QTYDEC-G14)^2)/(SUM(QW_2011)*(QN11_-1)/QN11_))</f>
        <v>2.0615281936389094E-2</v>
      </c>
      <c r="H28" s="11">
        <f>SQRT(SUMPRODUCT(QW_2012*(QTYDEC-H14)^2)/(SUM(QW_2012)*(QN12_-1)/QN12_))</f>
        <v>3.2796790833968241E-2</v>
      </c>
      <c r="I28" s="11">
        <f>SQRT(SUMPRODUCT(QW_2013*(QTYDEC-I14)^2)/(SUM(QW_2013)*(QN13_-1)/QN13_))</f>
        <v>2.9593737106044845E-2</v>
      </c>
      <c r="J28" s="19">
        <f>SQRT(SUMPRODUCT(QW_2014*(QTYDEC-J14)^2)/SUM(QW_2014)*(QN14_-1)/QN14_)</f>
        <v>2.2842313446637515E-2</v>
      </c>
      <c r="K28" s="19">
        <f>SQRT(SUMPRODUCT(QW_2015*(QTYDEC-K14)^2)/SUM(QW_2015)*(QN15_-1)/QN15_)</f>
        <v>2.5655433968256331E-2</v>
      </c>
      <c r="L28" s="19">
        <f>SQRT(SUMPRODUCT(QW_2016*(QTYDEC-L14)^2)/SUM(QW_2016)*(QN16_-1)/QN16_)</f>
        <v>2.37899944932402E-2</v>
      </c>
      <c r="N28" s="11"/>
      <c r="O28" s="11"/>
      <c r="Q28">
        <v>12</v>
      </c>
      <c r="R28" s="3"/>
      <c r="S28" s="3"/>
      <c r="T28" s="19">
        <f>SQRT(SUMPRODUCT(AN_2009*(ANDEC-T14)^2)/SUM(AN_2009)*(AN_09-1)/AN_09)</f>
        <v>7.5930406196880931E-3</v>
      </c>
      <c r="U28" s="19">
        <f>SQRT(SUMPRODUCT(AN_2010*(ANDEC-U14)^2)/SUM(AN_2010)*(AN_10-1)/AN_10)</f>
        <v>1.1709295673266175E-2</v>
      </c>
      <c r="V28" s="19">
        <f>SQRT(SUMPRODUCT(AN_2011*(ANDEC-V14)^2)/SUM(AN_2011)*(AN_11-1)/AN_11)</f>
        <v>1.2103738442141311E-2</v>
      </c>
      <c r="W28" s="19">
        <f>SQRT(SUMPRODUCT(AN_2012*(ANDEC-W14)^2)/SUM(AN_2012)*(AN_12-1)/AN_12)</f>
        <v>1.0603851394794176E-2</v>
      </c>
      <c r="X28" s="19">
        <f>SQRT(SUMPRODUCT(AN_2013*(ANDEC-X14)^2)/SUM(AN_2013)*(AN_13-1)/AN_13)</f>
        <v>1.4040226965557128E-2</v>
      </c>
      <c r="Y28" s="19">
        <f>SQRT(SUMPRODUCT(AN_2014*(ANDEC-Y14)^2)/SUM(AN_2014)*(AN_14-1)/AN_14)</f>
        <v>1.2660086580663131E-2</v>
      </c>
      <c r="Z28" s="19">
        <f>SQRT(SUMPRODUCT(AN_2015*(ANDEC-Z14)^2)/SUM(AN_2015)*(AN_15-1)/AN_15)</f>
        <v>1.6494331005972817E-2</v>
      </c>
      <c r="AA28" s="19">
        <f>SQRT(SUMPRODUCT(AN_2016*(ANDEC-AA14)^2)/(SUM(AN_2016)*(AN_16-1)/AN_16))</f>
        <v>1.6728721079500929E-2</v>
      </c>
      <c r="AO28" s="1">
        <v>40238</v>
      </c>
      <c r="AP28">
        <f>'Maize Price IPA-STEP 1'!D53</f>
        <v>13.236623385204965</v>
      </c>
      <c r="AQ28" t="str">
        <f t="shared" si="0"/>
        <v/>
      </c>
      <c r="AR28" t="str">
        <f t="shared" si="2"/>
        <v/>
      </c>
      <c r="AS28" t="str">
        <f t="shared" si="3"/>
        <v/>
      </c>
      <c r="AT28">
        <f t="shared" si="4"/>
        <v>-2.0318440508987239</v>
      </c>
      <c r="AU28" t="str">
        <f t="shared" si="5"/>
        <v/>
      </c>
      <c r="AV28" s="8">
        <f t="shared" si="7"/>
        <v>-2.0318440508987239</v>
      </c>
    </row>
    <row r="29" spans="1:48">
      <c r="B29" s="25" t="s">
        <v>171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17"/>
      <c r="N29" s="17"/>
      <c r="O29" s="17"/>
      <c r="R29" s="25" t="s">
        <v>177</v>
      </c>
      <c r="S29" s="25"/>
      <c r="T29" s="25"/>
      <c r="U29" s="25"/>
      <c r="V29" s="25"/>
      <c r="W29" s="25"/>
      <c r="X29" s="25"/>
      <c r="Y29" s="25"/>
      <c r="Z29" s="25"/>
      <c r="AA29" s="25"/>
      <c r="AO29" s="1">
        <v>40269</v>
      </c>
      <c r="AP29">
        <f>'Maize Price IPA-STEP 1'!D54</f>
        <v>13.461042597557297</v>
      </c>
      <c r="AQ29" t="str">
        <f t="shared" si="0"/>
        <v/>
      </c>
      <c r="AR29" t="str">
        <f t="shared" si="2"/>
        <v/>
      </c>
      <c r="AS29" t="str">
        <f t="shared" si="3"/>
        <v/>
      </c>
      <c r="AT29">
        <f t="shared" si="4"/>
        <v>-1.8673132686735703</v>
      </c>
      <c r="AU29" t="str">
        <f t="shared" si="5"/>
        <v/>
      </c>
      <c r="AV29" s="8">
        <f t="shared" si="7"/>
        <v>-1.8673132686735703</v>
      </c>
    </row>
    <row r="30" spans="1:48">
      <c r="A30" t="s">
        <v>76</v>
      </c>
      <c r="B30" t="s">
        <v>77</v>
      </c>
      <c r="C30" t="s">
        <v>78</v>
      </c>
      <c r="D30" t="s">
        <v>79</v>
      </c>
      <c r="E30" t="s">
        <v>80</v>
      </c>
      <c r="F30" t="s">
        <v>81</v>
      </c>
      <c r="G30" t="s">
        <v>82</v>
      </c>
      <c r="H30" t="s">
        <v>83</v>
      </c>
      <c r="I30" t="s">
        <v>84</v>
      </c>
      <c r="J30" t="s">
        <v>85</v>
      </c>
      <c r="K30" t="s">
        <v>124</v>
      </c>
      <c r="L30" t="s">
        <v>142</v>
      </c>
      <c r="Q30" t="s">
        <v>76</v>
      </c>
      <c r="R30" t="s">
        <v>95</v>
      </c>
      <c r="S30" t="s">
        <v>96</v>
      </c>
      <c r="T30" t="s">
        <v>97</v>
      </c>
      <c r="U30" t="s">
        <v>98</v>
      </c>
      <c r="V30" t="s">
        <v>99</v>
      </c>
      <c r="W30" t="s">
        <v>100</v>
      </c>
      <c r="X30" t="s">
        <v>101</v>
      </c>
      <c r="Y30" t="s">
        <v>102</v>
      </c>
      <c r="Z30" t="s">
        <v>130</v>
      </c>
      <c r="AA30" t="s">
        <v>145</v>
      </c>
      <c r="AO30" s="1">
        <v>40299</v>
      </c>
      <c r="AP30">
        <f>'Maize Price IPA-STEP 1'!D55</f>
        <v>13.006336318407916</v>
      </c>
      <c r="AQ30" t="str">
        <f t="shared" si="0"/>
        <v/>
      </c>
      <c r="AR30" t="str">
        <f t="shared" si="2"/>
        <v/>
      </c>
      <c r="AS30" t="str">
        <f t="shared" si="3"/>
        <v/>
      </c>
      <c r="AT30">
        <f t="shared" si="4"/>
        <v>-1.4043421543014669</v>
      </c>
      <c r="AU30" t="str">
        <f t="shared" si="5"/>
        <v/>
      </c>
      <c r="AV30" s="8">
        <f t="shared" si="7"/>
        <v>-1.4043421543014669</v>
      </c>
    </row>
    <row r="31" spans="1:48">
      <c r="A31">
        <v>1</v>
      </c>
      <c r="C31">
        <f>'Maize Price IPA-STEP 1'!I15</f>
        <v>-5.9246181693820565E-3</v>
      </c>
      <c r="D31">
        <f>'Maize Price IPA-STEP 1'!I27</f>
        <v>-5.2272363815602518E-2</v>
      </c>
      <c r="E31">
        <f>'Maize Price IPA-STEP 1'!I39</f>
        <v>-4.5334361567003434E-2</v>
      </c>
      <c r="F31">
        <f>'Maize Price IPA-STEP 1'!I51</f>
        <v>-2.6102957456687004E-2</v>
      </c>
      <c r="G31">
        <f>'Maize Price IPA-STEP 1'!I63</f>
        <v>8.7457834505865195E-2</v>
      </c>
      <c r="H31">
        <f>'Maize Price IPA-STEP 1'!I75</f>
        <v>-6.4203542714028172E-2</v>
      </c>
      <c r="I31">
        <f>'Maize Price IPA-STEP 1'!I87</f>
        <v>-2.1428751706528915E-2</v>
      </c>
      <c r="J31">
        <f>'Maize Price IPA-STEP 1'!I99</f>
        <v>-3.8842721534381841E-2</v>
      </c>
      <c r="K31">
        <f>'Maize Price IPA-STEP 1'!I111</f>
        <v>3.5195771933349107E-2</v>
      </c>
      <c r="L31" s="20">
        <f>'Maize Price IPA-STEP 1'!I123</f>
        <v>-5.6873050858300411E-3</v>
      </c>
      <c r="Q31">
        <v>1</v>
      </c>
      <c r="R31">
        <f>'Maize Price IPA-STEP 1'!M15</f>
        <v>4.3380159224108983E-3</v>
      </c>
      <c r="S31">
        <f>'Maize Price IPA-STEP 1'!M27</f>
        <v>2.0832498665860122E-2</v>
      </c>
      <c r="T31">
        <f>'Maize Price IPA-STEP 1'!M39</f>
        <v>-9.2394264756839872E-3</v>
      </c>
      <c r="U31">
        <f>'Maize Price IPA-STEP 1'!M51</f>
        <v>-1.1321958848223845E-2</v>
      </c>
      <c r="V31">
        <f>'Maize Price IPA-STEP 1'!M63</f>
        <v>3.6475731538174072E-2</v>
      </c>
      <c r="W31">
        <f>'Maize Price IPA-STEP 1'!M75</f>
        <v>-1.138761320759063E-2</v>
      </c>
      <c r="X31">
        <f>'Maize Price IPA-STEP 1'!M87</f>
        <v>-2.5250703060429536E-2</v>
      </c>
      <c r="Y31">
        <f>'Maize Price IPA-STEP 1'!M99</f>
        <v>-8.0396924273986592E-3</v>
      </c>
      <c r="Z31">
        <f>'Maize Price IPA-STEP 1'!M111</f>
        <v>4.2604958499111945E-2</v>
      </c>
      <c r="AA31">
        <f>'Maize Price IPA-STEP 1'!M123</f>
        <v>-7.4209584652700222E-3</v>
      </c>
      <c r="AO31" s="1">
        <v>40330</v>
      </c>
      <c r="AP31">
        <f>'Maize Price IPA-STEP 1'!D56</f>
        <v>13.227445853143113</v>
      </c>
      <c r="AQ31" t="str">
        <f t="shared" si="0"/>
        <v/>
      </c>
      <c r="AR31" t="str">
        <f t="shared" si="2"/>
        <v/>
      </c>
      <c r="AS31">
        <f t="shared" si="3"/>
        <v>-0.36730741567067693</v>
      </c>
      <c r="AT31" t="str">
        <f t="shared" si="4"/>
        <v/>
      </c>
      <c r="AU31" t="str">
        <f t="shared" si="5"/>
        <v/>
      </c>
      <c r="AV31" s="8">
        <f t="shared" si="7"/>
        <v>-0.36730741567067693</v>
      </c>
    </row>
    <row r="32" spans="1:48">
      <c r="A32">
        <v>2</v>
      </c>
      <c r="C32">
        <f>'Maize Price IPA-STEP 1'!I16</f>
        <v>2.7101027461557292E-2</v>
      </c>
      <c r="D32">
        <f>'Maize Price IPA-STEP 1'!I28</f>
        <v>1.5740446035425348E-2</v>
      </c>
      <c r="E32">
        <f>'Maize Price IPA-STEP 1'!I40</f>
        <v>-1.3291224358038312E-2</v>
      </c>
      <c r="F32">
        <f>'Maize Price IPA-STEP 1'!I52</f>
        <v>-2.5338725228660652E-2</v>
      </c>
      <c r="G32">
        <f>'Maize Price IPA-STEP 1'!I64</f>
        <v>0.13125865780006363</v>
      </c>
      <c r="H32">
        <f>'Maize Price IPA-STEP 1'!I76</f>
        <v>-1.415796201355235E-2</v>
      </c>
      <c r="I32">
        <f>'Maize Price IPA-STEP 1'!I88</f>
        <v>-2.4349325507185715E-2</v>
      </c>
      <c r="J32">
        <f>'Maize Price IPA-STEP 1'!I100</f>
        <v>-2.3885213399172045E-2</v>
      </c>
      <c r="K32">
        <f>'Maize Price IPA-STEP 1'!I112</f>
        <v>3.8510302092540138E-2</v>
      </c>
      <c r="L32" s="20">
        <f>'Maize Price IPA-STEP 1'!I124</f>
        <v>6.2645299098442742E-3</v>
      </c>
      <c r="Q32">
        <v>2</v>
      </c>
      <c r="R32">
        <f>'Maize Price IPA-STEP 1'!M16</f>
        <v>1.5601842235764218E-2</v>
      </c>
      <c r="S32">
        <f>'Maize Price IPA-STEP 1'!M28</f>
        <v>1.2247232834238231E-2</v>
      </c>
      <c r="T32">
        <f>'Maize Price IPA-STEP 1'!M40</f>
        <v>-9.0581440246039202E-3</v>
      </c>
      <c r="U32">
        <f>'Maize Price IPA-STEP 1'!M52</f>
        <v>-9.7335470080265329E-3</v>
      </c>
      <c r="V32">
        <f>'Maize Price IPA-STEP 1'!M64</f>
        <v>4.2706566097341137E-2</v>
      </c>
      <c r="W32">
        <f>'Maize Price IPA-STEP 1'!M76</f>
        <v>-2.2417510138614039E-2</v>
      </c>
      <c r="X32">
        <f>'Maize Price IPA-STEP 1'!M88</f>
        <v>-2.3463740982592518E-2</v>
      </c>
      <c r="Y32">
        <f>'Maize Price IPA-STEP 1'!M100</f>
        <v>-3.2978296256409578E-3</v>
      </c>
      <c r="Z32">
        <f>'Maize Price IPA-STEP 1'!M112</f>
        <v>3.8501548122606755E-2</v>
      </c>
      <c r="AA32">
        <f>'Maize Price IPA-STEP 1'!M124</f>
        <v>-5.6581420413862604E-3</v>
      </c>
      <c r="AO32" s="1">
        <v>40360</v>
      </c>
      <c r="AP32">
        <f>'Maize Price IPA-STEP 1'!D57</f>
        <v>14.63640852974182</v>
      </c>
      <c r="AQ32" t="str">
        <f t="shared" si="0"/>
        <v/>
      </c>
      <c r="AR32" t="str">
        <f t="shared" si="2"/>
        <v/>
      </c>
      <c r="AS32">
        <f t="shared" si="3"/>
        <v>-6.7864385707336383E-2</v>
      </c>
      <c r="AT32" t="str">
        <f t="shared" si="4"/>
        <v/>
      </c>
      <c r="AU32" t="str">
        <f t="shared" si="5"/>
        <v/>
      </c>
      <c r="AV32" s="8">
        <f t="shared" si="7"/>
        <v>-6.7864385707336383E-2</v>
      </c>
    </row>
    <row r="33" spans="1:48">
      <c r="A33">
        <v>3</v>
      </c>
      <c r="C33">
        <f>'Maize Price IPA-STEP 1'!I17</f>
        <v>8.3483290494767992E-2</v>
      </c>
      <c r="D33">
        <f>'Maize Price IPA-STEP 1'!I29</f>
        <v>2.9502371872604849E-2</v>
      </c>
      <c r="E33">
        <f>'Maize Price IPA-STEP 1'!I41</f>
        <v>7.5236256615445196E-3</v>
      </c>
      <c r="F33">
        <f>'Maize Price IPA-STEP 1'!I53</f>
        <v>8.8307292269051985E-5</v>
      </c>
      <c r="G33">
        <f>'Maize Price IPA-STEP 1'!I65</f>
        <v>0.13476593325705477</v>
      </c>
      <c r="H33">
        <f>'Maize Price IPA-STEP 1'!I77</f>
        <v>3.8524304927145536E-4</v>
      </c>
      <c r="I33">
        <f>'Maize Price IPA-STEP 1'!I89</f>
        <v>-1.0612357397823402E-3</v>
      </c>
      <c r="J33">
        <f>'Maize Price IPA-STEP 1'!I101</f>
        <v>2.6578577305259143E-2</v>
      </c>
      <c r="K33">
        <f>'Maize Price IPA-STEP 1'!I113</f>
        <v>5.1849624685506468E-2</v>
      </c>
      <c r="L33" s="20">
        <f>'Maize Price IPA-STEP 1'!I125</f>
        <v>2.8116064154753095E-2</v>
      </c>
      <c r="Q33">
        <v>3</v>
      </c>
      <c r="R33">
        <f>'Maize Price IPA-STEP 1'!M17</f>
        <v>1.9398969204595939E-2</v>
      </c>
      <c r="S33">
        <f>'Maize Price IPA-STEP 1'!M29</f>
        <v>9.9972881149565929E-3</v>
      </c>
      <c r="T33">
        <f>'Maize Price IPA-STEP 1'!M41</f>
        <v>-5.1765242087308261E-3</v>
      </c>
      <c r="U33">
        <f>'Maize Price IPA-STEP 1'!M53</f>
        <v>-1.8353011046330914E-2</v>
      </c>
      <c r="V33">
        <f>'Maize Price IPA-STEP 1'!M65</f>
        <v>4.5449244846449632E-2</v>
      </c>
      <c r="W33">
        <f>'Maize Price IPA-STEP 1'!M77</f>
        <v>-2.1934568461316695E-2</v>
      </c>
      <c r="X33">
        <f>'Maize Price IPA-STEP 1'!M89</f>
        <v>-2.1353838466449004E-2</v>
      </c>
      <c r="Y33">
        <f>'Maize Price IPA-STEP 1'!M101</f>
        <v>-2.9159177453150775E-3</v>
      </c>
      <c r="Z33">
        <f>'Maize Price IPA-STEP 1'!M113</f>
        <v>3.2867292353777611E-2</v>
      </c>
      <c r="AA33">
        <f>'Maize Price IPA-STEP 1'!M125</f>
        <v>-3.4404620935316599E-3</v>
      </c>
      <c r="AO33" s="1">
        <v>40391</v>
      </c>
      <c r="AP33">
        <f>'Maize Price IPA-STEP 1'!D58</f>
        <v>14.911793142214673</v>
      </c>
      <c r="AQ33" t="str">
        <f t="shared" si="0"/>
        <v/>
      </c>
      <c r="AR33" t="str">
        <f t="shared" si="2"/>
        <v/>
      </c>
      <c r="AS33">
        <f t="shared" si="3"/>
        <v>0.48970475276690045</v>
      </c>
      <c r="AT33" t="str">
        <f t="shared" si="4"/>
        <v/>
      </c>
      <c r="AU33" t="str">
        <f t="shared" si="5"/>
        <v/>
      </c>
      <c r="AV33" s="8">
        <f t="shared" si="7"/>
        <v>0.48970475276690045</v>
      </c>
    </row>
    <row r="34" spans="1:48">
      <c r="A34">
        <v>4</v>
      </c>
      <c r="B34">
        <f>'Maize Price IPA-STEP 1'!I6</f>
        <v>1.6491286090380974E-2</v>
      </c>
      <c r="C34">
        <f>'Maize Price IPA-STEP 1'!I18</f>
        <v>9.039689142201901E-2</v>
      </c>
      <c r="D34">
        <f>'Maize Price IPA-STEP 1'!I30</f>
        <v>4.2798213132652085E-2</v>
      </c>
      <c r="E34">
        <f>'Maize Price IPA-STEP 1'!I42</f>
        <v>4.8065882455395004E-2</v>
      </c>
      <c r="F34">
        <f>'Maize Price IPA-STEP 1'!I54</f>
        <v>1.899472855083828E-2</v>
      </c>
      <c r="G34">
        <f>'Maize Price IPA-STEP 1'!I66</f>
        <v>7.396928648186174E-2</v>
      </c>
      <c r="H34">
        <f>'Maize Price IPA-STEP 1'!I78</f>
        <v>-1.0630006686975335E-2</v>
      </c>
      <c r="I34">
        <f>'Maize Price IPA-STEP 1'!I90</f>
        <v>2.5693929699508233E-2</v>
      </c>
      <c r="J34">
        <f>'Maize Price IPA-STEP 1'!I102</f>
        <v>4.7583086894081195E-2</v>
      </c>
      <c r="K34">
        <f>'Maize Price IPA-STEP 1'!I114</f>
        <v>1.3464808497467562E-3</v>
      </c>
      <c r="L34" s="20">
        <f>'Maize Price IPA-STEP 1'!I126</f>
        <v>1.9503129358762417E-2</v>
      </c>
      <c r="Q34">
        <v>4</v>
      </c>
      <c r="R34">
        <f>'Maize Price IPA-STEP 1'!M18</f>
        <v>2.2115885335167507E-2</v>
      </c>
      <c r="S34">
        <f>'Maize Price IPA-STEP 1'!M30</f>
        <v>9.5048411204217143E-3</v>
      </c>
      <c r="T34">
        <f>'Maize Price IPA-STEP 1'!M42</f>
        <v>-7.990589050004715E-3</v>
      </c>
      <c r="U34">
        <f>'Maize Price IPA-STEP 1'!M54</f>
        <v>-1.8250413875434246E-2</v>
      </c>
      <c r="V34">
        <f>'Maize Price IPA-STEP 1'!M66</f>
        <v>5.0180908446099792E-2</v>
      </c>
      <c r="W34">
        <f>'Maize Price IPA-STEP 1'!M78</f>
        <v>-3.1459544151007601E-2</v>
      </c>
      <c r="X34">
        <f>'Maize Price IPA-STEP 1'!M90</f>
        <v>-1.6424520371118079E-2</v>
      </c>
      <c r="Y34">
        <f>'Maize Price IPA-STEP 1'!M102</f>
        <v>-2.7892127263023925E-3</v>
      </c>
      <c r="Z34">
        <f>'Maize Price IPA-STEP 1'!M114</f>
        <v>3.0905271709030346E-2</v>
      </c>
      <c r="AA34">
        <f>'Maize Price IPA-STEP 1'!M126</f>
        <v>-2.9518142265267944E-3</v>
      </c>
      <c r="AO34" s="1">
        <v>40422</v>
      </c>
      <c r="AP34">
        <f>'Maize Price IPA-STEP 1'!D59</f>
        <v>17.277151617050716</v>
      </c>
      <c r="AQ34">
        <f t="shared" ref="AQ34:AQ65" si="8">IF(AV34&gt;=1,AV34,"")</f>
        <v>6.3796599506560385</v>
      </c>
      <c r="AR34" t="str">
        <f t="shared" si="2"/>
        <v/>
      </c>
      <c r="AS34" t="str">
        <f t="shared" si="3"/>
        <v/>
      </c>
      <c r="AT34" t="str">
        <f t="shared" si="4"/>
        <v/>
      </c>
      <c r="AU34" t="str">
        <f t="shared" si="5"/>
        <v/>
      </c>
      <c r="AV34" s="8">
        <f t="shared" si="7"/>
        <v>6.3796599506560385</v>
      </c>
    </row>
    <row r="35" spans="1:48">
      <c r="A35">
        <v>5</v>
      </c>
      <c r="B35">
        <f>'Maize Price IPA-STEP 1'!I7</f>
        <v>2.3807734267148994E-2</v>
      </c>
      <c r="C35">
        <f>'Maize Price IPA-STEP 1'!I19</f>
        <v>9.9754495260986564E-2</v>
      </c>
      <c r="D35">
        <f>'Maize Price IPA-STEP 1'!I31</f>
        <v>3.1906344605259651E-2</v>
      </c>
      <c r="E35">
        <f>'Maize Price IPA-STEP 1'!I43</f>
        <v>3.0997983966394527E-2</v>
      </c>
      <c r="F35">
        <f>'Maize Price IPA-STEP 1'!I55</f>
        <v>-1.8222792238355989E-3</v>
      </c>
      <c r="G35">
        <f>'Maize Price IPA-STEP 1'!I67</f>
        <v>6.2209121865372419E-2</v>
      </c>
      <c r="H35">
        <f>'Maize Price IPA-STEP 1'!I79</f>
        <v>-1.9162879099703045E-2</v>
      </c>
      <c r="I35">
        <f>'Maize Price IPA-STEP 1'!I91</f>
        <v>1.7819644687285363E-2</v>
      </c>
      <c r="J35">
        <f>'Maize Price IPA-STEP 1'!I103</f>
        <v>3.4190764329437906E-2</v>
      </c>
      <c r="K35">
        <f>'Maize Price IPA-STEP 1'!I115</f>
        <v>-5.6731463340187194E-3</v>
      </c>
      <c r="L35" s="20">
        <f>'Maize Price IPA-STEP 1'!I127</f>
        <v>4.0316857070394896E-3</v>
      </c>
      <c r="Q35">
        <v>5</v>
      </c>
      <c r="R35">
        <f>'Maize Price IPA-STEP 1'!M19</f>
        <v>3.3933995186455457E-2</v>
      </c>
      <c r="S35">
        <f>'Maize Price IPA-STEP 1'!M31</f>
        <v>-3.7399110932511137E-3</v>
      </c>
      <c r="T35">
        <f>'Maize Price IPA-STEP 1'!M43</f>
        <v>-9.2762912118682372E-3</v>
      </c>
      <c r="U35">
        <f>'Maize Price IPA-STEP 1'!M55</f>
        <v>-1.7710321101179094E-2</v>
      </c>
      <c r="V35">
        <f>'Maize Price IPA-STEP 1'!M67</f>
        <v>5.9040690685058461E-2</v>
      </c>
      <c r="W35">
        <f>'Maize Price IPA-STEP 1'!M79</f>
        <v>-4.1702995019338607E-2</v>
      </c>
      <c r="X35">
        <f>'Maize Price IPA-STEP 1'!M91</f>
        <v>-1.4386015003161834E-2</v>
      </c>
      <c r="Y35">
        <f>'Maize Price IPA-STEP 1'!M103</f>
        <v>6.8608444023232629E-4</v>
      </c>
      <c r="Z35">
        <f>'Maize Price IPA-STEP 1'!M115</f>
        <v>2.8346032057654069E-2</v>
      </c>
      <c r="AA35">
        <f>'Maize Price IPA-STEP 1'!M127</f>
        <v>-3.2407274375667594E-3</v>
      </c>
      <c r="AO35" s="1">
        <v>40452</v>
      </c>
      <c r="AP35">
        <f>'Maize Price IPA-STEP 1'!D60</f>
        <v>15.206709897163798</v>
      </c>
      <c r="AQ35">
        <f t="shared" si="8"/>
        <v>1.8008207079844456</v>
      </c>
      <c r="AR35" t="str">
        <f t="shared" si="2"/>
        <v/>
      </c>
      <c r="AS35" t="str">
        <f t="shared" si="3"/>
        <v/>
      </c>
      <c r="AT35" t="str">
        <f t="shared" si="4"/>
        <v/>
      </c>
      <c r="AU35" t="str">
        <f t="shared" si="5"/>
        <v/>
      </c>
      <c r="AV35" s="8">
        <f t="shared" si="7"/>
        <v>1.8008207079844456</v>
      </c>
    </row>
    <row r="36" spans="1:48">
      <c r="A36">
        <v>6</v>
      </c>
      <c r="B36">
        <f>'Maize Price IPA-STEP 1'!I8</f>
        <v>2.3992943487265883E-2</v>
      </c>
      <c r="C36">
        <f>'Maize Price IPA-STEP 1'!I20</f>
        <v>0.12188209730413924</v>
      </c>
      <c r="D36">
        <f>'Maize Price IPA-STEP 1'!I32</f>
        <v>3.2037169219576445E-2</v>
      </c>
      <c r="E36">
        <f>'Maize Price IPA-STEP 1'!I44</f>
        <v>-2.535159355242067E-2</v>
      </c>
      <c r="F36">
        <f>'Maize Price IPA-STEP 1'!I56</f>
        <v>-2.3116806741563245E-4</v>
      </c>
      <c r="G36">
        <f>'Maize Price IPA-STEP 1'!I68</f>
        <v>0.10351664080409551</v>
      </c>
      <c r="H36">
        <f>'Maize Price IPA-STEP 1'!I80</f>
        <v>-2.9426730531554424E-2</v>
      </c>
      <c r="I36">
        <f>'Maize Price IPA-STEP 1'!I92</f>
        <v>1.9611201993395388E-2</v>
      </c>
      <c r="J36">
        <f>'Maize Price IPA-STEP 1'!I104</f>
        <v>5.9950669100861109E-2</v>
      </c>
      <c r="K36">
        <f>'Maize Price IPA-STEP 1'!I116</f>
        <v>-5.8199772474700762E-3</v>
      </c>
      <c r="L36" s="20">
        <f>'Maize Price IPA-STEP 1'!I128</f>
        <v>-1.4384563238387993E-2</v>
      </c>
      <c r="Q36">
        <v>6</v>
      </c>
      <c r="R36">
        <f>'Maize Price IPA-STEP 1'!M20</f>
        <v>4.2933826460810565E-2</v>
      </c>
      <c r="S36">
        <f>'Maize Price IPA-STEP 1'!M32</f>
        <v>-1.086119972948052E-2</v>
      </c>
      <c r="T36">
        <f>'Maize Price IPA-STEP 1'!M44</f>
        <v>-1.9304494994637045E-2</v>
      </c>
      <c r="U36">
        <f>'Maize Price IPA-STEP 1'!M56</f>
        <v>-1.2088040698894242E-2</v>
      </c>
      <c r="V36">
        <f>'Maize Price IPA-STEP 1'!M68</f>
        <v>7.1575502514079181E-2</v>
      </c>
      <c r="W36">
        <f>'Maize Price IPA-STEP 1'!M80</f>
        <v>-5.2824906510408498E-2</v>
      </c>
      <c r="X36">
        <f>'Maize Price IPA-STEP 1'!M92</f>
        <v>-9.2199230045173497E-3</v>
      </c>
      <c r="Y36">
        <f>'Maize Price IPA-STEP 1'!M104</f>
        <v>6.8031064768805383E-3</v>
      </c>
      <c r="Z36">
        <f>'Maize Price IPA-STEP 1'!M116</f>
        <v>1.6457839158022347E-2</v>
      </c>
      <c r="AA36">
        <f>'Maize Price IPA-STEP 1'!M128</f>
        <v>-5.5937019331077087E-3</v>
      </c>
      <c r="AO36" s="1">
        <v>40483</v>
      </c>
      <c r="AP36">
        <f>'Maize Price IPA-STEP 1'!D61</f>
        <v>14.920758998435048</v>
      </c>
      <c r="AQ36">
        <f t="shared" si="8"/>
        <v>2.4720384268458022</v>
      </c>
      <c r="AR36" t="str">
        <f t="shared" si="2"/>
        <v/>
      </c>
      <c r="AS36" t="str">
        <f t="shared" si="3"/>
        <v/>
      </c>
      <c r="AT36" t="str">
        <f t="shared" si="4"/>
        <v/>
      </c>
      <c r="AU36" t="str">
        <f t="shared" si="5"/>
        <v/>
      </c>
      <c r="AV36" s="8">
        <f t="shared" si="7"/>
        <v>2.4720384268458022</v>
      </c>
    </row>
    <row r="37" spans="1:48">
      <c r="A37">
        <v>7</v>
      </c>
      <c r="B37">
        <f>'Maize Price IPA-STEP 1'!I9</f>
        <v>9.2036924848668544E-3</v>
      </c>
      <c r="C37">
        <f>'Maize Price IPA-STEP 1'!I21</f>
        <v>0.11962094407024293</v>
      </c>
      <c r="D37">
        <f>'Maize Price IPA-STEP 1'!I33</f>
        <v>4.8229080852997264E-3</v>
      </c>
      <c r="E37">
        <f>'Maize Price IPA-STEP 1'!I45</f>
        <v>-1.4031723522171746E-2</v>
      </c>
      <c r="F37">
        <f>'Maize Price IPA-STEP 1'!I57</f>
        <v>2.8297093170811083E-2</v>
      </c>
      <c r="G37">
        <f>'Maize Price IPA-STEP 1'!I69</f>
        <v>6.4587111603545244E-2</v>
      </c>
      <c r="H37">
        <f>'Maize Price IPA-STEP 1'!I81</f>
        <v>-1.2891045668291357E-2</v>
      </c>
      <c r="I37">
        <f>'Maize Price IPA-STEP 1'!I93</f>
        <v>2.0838596184820313E-2</v>
      </c>
      <c r="J37">
        <f>'Maize Price IPA-STEP 1'!I105</f>
        <v>0.11170556438988544</v>
      </c>
      <c r="K37">
        <f>'Maize Price IPA-STEP 1'!I117</f>
        <v>3.0660331921881001E-2</v>
      </c>
      <c r="L37" s="20">
        <f>'Maize Price IPA-STEP 1'!I129</f>
        <v>-2.3285244556562334E-2</v>
      </c>
      <c r="Q37">
        <v>7</v>
      </c>
      <c r="R37">
        <f>'Maize Price IPA-STEP 1'!M21</f>
        <v>4.8994433847212582E-2</v>
      </c>
      <c r="S37">
        <f>'Maize Price IPA-STEP 1'!M33</f>
        <v>-1.7431053557073084E-2</v>
      </c>
      <c r="T37">
        <f>'Maize Price IPA-STEP 1'!M45</f>
        <v>-1.2677246449031121E-2</v>
      </c>
      <c r="U37">
        <f>'Maize Price IPA-STEP 1'!M57</f>
        <v>-7.8789974656018336E-3</v>
      </c>
      <c r="V37">
        <f>'Maize Price IPA-STEP 1'!M69</f>
        <v>5.9326332089473466E-2</v>
      </c>
      <c r="W37">
        <f>'Maize Price IPA-STEP 1'!M81</f>
        <v>-4.9584002616891887E-2</v>
      </c>
      <c r="X37">
        <f>'Maize Price IPA-STEP 1'!M93</f>
        <v>-8.1278622880091023E-3</v>
      </c>
      <c r="Y37">
        <f>'Maize Price IPA-STEP 1'!M105</f>
        <v>1.8697269922849147E-2</v>
      </c>
      <c r="Z37">
        <f>'Maize Price IPA-STEP 1'!M117</f>
        <v>1.1579933897282846E-2</v>
      </c>
      <c r="AA37">
        <f>'Maize Price IPA-STEP 1'!M129</f>
        <v>-1.6262573637179201E-2</v>
      </c>
      <c r="AO37" s="1">
        <v>40513</v>
      </c>
      <c r="AP37">
        <f>'Maize Price IPA-STEP 1'!D62</f>
        <v>15.441652795456672</v>
      </c>
      <c r="AQ37" t="str">
        <f t="shared" si="8"/>
        <v/>
      </c>
      <c r="AR37">
        <f t="shared" si="2"/>
        <v>0.99254870326898847</v>
      </c>
      <c r="AS37" t="str">
        <f t="shared" si="3"/>
        <v/>
      </c>
      <c r="AT37" t="str">
        <f t="shared" si="4"/>
        <v/>
      </c>
      <c r="AU37" t="str">
        <f t="shared" si="5"/>
        <v/>
      </c>
      <c r="AV37" s="8">
        <f t="shared" si="7"/>
        <v>0.99254870326898847</v>
      </c>
    </row>
    <row r="38" spans="1:48">
      <c r="A38">
        <v>8</v>
      </c>
      <c r="B38">
        <f>'Maize Price IPA-STEP 1'!I10</f>
        <v>1.2654508993410474E-2</v>
      </c>
      <c r="C38">
        <f>'Maize Price IPA-STEP 1'!I22</f>
        <v>5.3854618154110412E-2</v>
      </c>
      <c r="D38">
        <f>'Maize Price IPA-STEP 1'!I34</f>
        <v>6.0945116762234353E-3</v>
      </c>
      <c r="E38">
        <f>'Maize Price IPA-STEP 1'!I46</f>
        <v>-4.0894305660580388E-3</v>
      </c>
      <c r="F38">
        <f>'Maize Price IPA-STEP 1'!I58</f>
        <v>4.6626267636056928E-2</v>
      </c>
      <c r="G38">
        <f>'Maize Price IPA-STEP 1'!I70</f>
        <v>4.742003893136304E-2</v>
      </c>
      <c r="H38">
        <f>'Maize Price IPA-STEP 1'!I82</f>
        <v>2.2104389730962959E-2</v>
      </c>
      <c r="I38">
        <f>'Maize Price IPA-STEP 1'!I94</f>
        <v>3.164404024235945E-2</v>
      </c>
      <c r="J38">
        <f>'Maize Price IPA-STEP 1'!I106</f>
        <v>0.1451067044405836</v>
      </c>
      <c r="K38">
        <f>'Maize Price IPA-STEP 1'!I118</f>
        <v>1.4478143660501264E-2</v>
      </c>
      <c r="L38" s="20">
        <f>'Maize Price IPA-STEP 1'!I130</f>
        <v>-1.3002959121990898E-2</v>
      </c>
      <c r="Q38">
        <v>8</v>
      </c>
      <c r="R38">
        <f>'Maize Price IPA-STEP 1'!M22</f>
        <v>4.4293717965857571E-2</v>
      </c>
      <c r="S38">
        <f>'Maize Price IPA-STEP 1'!M34</f>
        <v>-1.5224463026909496E-2</v>
      </c>
      <c r="T38">
        <f>'Maize Price IPA-STEP 1'!M46</f>
        <v>-1.1792953092057523E-2</v>
      </c>
      <c r="U38">
        <f>'Maize Price IPA-STEP 1'!M58</f>
        <v>-5.4367604986992335E-3</v>
      </c>
      <c r="V38">
        <f>'Maize Price IPA-STEP 1'!M70</f>
        <v>5.9241430230928316E-2</v>
      </c>
      <c r="W38">
        <f>'Maize Price IPA-STEP 1'!M82</f>
        <v>-4.7546626020101068E-2</v>
      </c>
      <c r="X38">
        <f>'Maize Price IPA-STEP 1'!M94</f>
        <v>-1.2094252390952853E-2</v>
      </c>
      <c r="Y38">
        <f>'Maize Price IPA-STEP 1'!M106</f>
        <v>2.7133470398876813E-2</v>
      </c>
      <c r="Z38">
        <f>'Maize Price IPA-STEP 1'!M118</f>
        <v>-2.3264442245825023E-3</v>
      </c>
      <c r="AA38">
        <f>'Maize Price IPA-STEP 1'!M130</f>
        <v>-1.006068271600391E-2</v>
      </c>
      <c r="AO38" s="1">
        <v>40544</v>
      </c>
      <c r="AP38">
        <f>'Maize Price IPA-STEP 1'!D63</f>
        <v>19.555662806914992</v>
      </c>
      <c r="AQ38">
        <f t="shared" si="8"/>
        <v>4.6251525519116283</v>
      </c>
      <c r="AR38" t="str">
        <f t="shared" si="2"/>
        <v/>
      </c>
      <c r="AS38" t="str">
        <f t="shared" si="3"/>
        <v/>
      </c>
      <c r="AT38" t="str">
        <f t="shared" si="4"/>
        <v/>
      </c>
      <c r="AU38" t="str">
        <f t="shared" si="5"/>
        <v/>
      </c>
      <c r="AV38" s="8">
        <f t="shared" ref="AV38:AV49" si="9">AH45</f>
        <v>4.6251525519116283</v>
      </c>
    </row>
    <row r="39" spans="1:48">
      <c r="A39">
        <v>9</v>
      </c>
      <c r="B39">
        <f>'Maize Price IPA-STEP 1'!I11</f>
        <v>1.7291154448602075E-3</v>
      </c>
      <c r="C39">
        <f>'Maize Price IPA-STEP 1'!I23</f>
        <v>-1.2581949933381908E-2</v>
      </c>
      <c r="D39">
        <f>'Maize Price IPA-STEP 1'!I35</f>
        <v>-2.1896395117263268E-2</v>
      </c>
      <c r="E39">
        <f>'Maize Price IPA-STEP 1'!I47</f>
        <v>-1.7674085550228313E-2</v>
      </c>
      <c r="F39">
        <f>'Maize Price IPA-STEP 1'!I59</f>
        <v>9.3113817446415004E-2</v>
      </c>
      <c r="G39">
        <f>'Maize Price IPA-STEP 1'!I71</f>
        <v>-8.1149068169661942E-2</v>
      </c>
      <c r="H39">
        <f>'Maize Price IPA-STEP 1'!I83</f>
        <v>-1.7575748009228898E-2</v>
      </c>
      <c r="I39">
        <f>'Maize Price IPA-STEP 1'!I95</f>
        <v>5.4096095554374557E-3</v>
      </c>
      <c r="J39">
        <f>'Maize Price IPA-STEP 1'!I107</f>
        <v>3.4895235441195549E-2</v>
      </c>
      <c r="K39">
        <f>'Maize Price IPA-STEP 1'!I119</f>
        <v>-1.4467047819498591E-3</v>
      </c>
      <c r="L39" s="20">
        <f>'Maize Price IPA-STEP 1'!I131</f>
        <v>-1.0051755262715067E-2</v>
      </c>
      <c r="Q39">
        <v>9</v>
      </c>
      <c r="R39">
        <f>'Maize Price IPA-STEP 1'!M23</f>
        <v>3.9188769895444509E-2</v>
      </c>
      <c r="S39">
        <f>'Maize Price IPA-STEP 1'!M35</f>
        <v>-1.3202166386032999E-2</v>
      </c>
      <c r="T39">
        <f>'Maize Price IPA-STEP 1'!M47</f>
        <v>-1.8247829411247252E-2</v>
      </c>
      <c r="U39">
        <f>'Maize Price IPA-STEP 1'!M59</f>
        <v>1.4660347309740862E-2</v>
      </c>
      <c r="V39">
        <f>'Maize Price IPA-STEP 1'!M71</f>
        <v>2.6048041139362876E-2</v>
      </c>
      <c r="W39">
        <f>'Maize Price IPA-STEP 1'!M83</f>
        <v>-3.6850345463459666E-2</v>
      </c>
      <c r="X39">
        <f>'Maize Price IPA-STEP 1'!M95</f>
        <v>-3.4748717790376027E-3</v>
      </c>
      <c r="Y39">
        <f>'Maize Price IPA-STEP 1'!M107</f>
        <v>1.4104910831894468E-2</v>
      </c>
      <c r="Z39">
        <f>'Maize Price IPA-STEP 1'!M119</f>
        <v>7.4142390948543913E-3</v>
      </c>
      <c r="AA39">
        <f>'Maize Price IPA-STEP 1'!M131</f>
        <v>-7.7429884394644155E-3</v>
      </c>
      <c r="AO39" s="1">
        <v>40575</v>
      </c>
      <c r="AP39">
        <f>'Maize Price IPA-STEP 1'!D64</f>
        <v>21.601139601139515</v>
      </c>
      <c r="AQ39">
        <f t="shared" si="8"/>
        <v>5.4926022244489845</v>
      </c>
      <c r="AR39" t="str">
        <f t="shared" si="2"/>
        <v/>
      </c>
      <c r="AS39" t="str">
        <f t="shared" si="3"/>
        <v/>
      </c>
      <c r="AT39" t="str">
        <f t="shared" si="4"/>
        <v/>
      </c>
      <c r="AU39" t="str">
        <f t="shared" si="5"/>
        <v/>
      </c>
      <c r="AV39" s="8">
        <f t="shared" si="9"/>
        <v>5.4926022244489845</v>
      </c>
    </row>
    <row r="40" spans="1:48">
      <c r="A40">
        <v>10</v>
      </c>
      <c r="B40">
        <f>'Maize Price IPA-STEP 1'!I12</f>
        <v>-2.2590489192398922E-3</v>
      </c>
      <c r="C40">
        <f>'Maize Price IPA-STEP 1'!I24</f>
        <v>-6.140381094899805E-2</v>
      </c>
      <c r="D40">
        <f>'Maize Price IPA-STEP 1'!I36</f>
        <v>-3.6761647036563705E-2</v>
      </c>
      <c r="E40">
        <f>'Maize Price IPA-STEP 1'!I48</f>
        <v>-5.0587421303390889E-2</v>
      </c>
      <c r="F40">
        <f>'Maize Price IPA-STEP 1'!I60</f>
        <v>1.2823056450094406E-2</v>
      </c>
      <c r="G40">
        <f>'Maize Price IPA-STEP 1'!I72</f>
        <v>-0.10720915496964234</v>
      </c>
      <c r="H40">
        <f>'Maize Price IPA-STEP 1'!I84</f>
        <v>-5.5383679042055101E-2</v>
      </c>
      <c r="I40">
        <f>'Maize Price IPA-STEP 1'!I96</f>
        <v>-3.7927385868698482E-2</v>
      </c>
      <c r="J40">
        <f>'Maize Price IPA-STEP 1'!I108</f>
        <v>-1.9881928003069982E-2</v>
      </c>
      <c r="K40">
        <f>'Maize Price IPA-STEP 1'!I120</f>
        <v>-5.4116866049562007E-2</v>
      </c>
      <c r="L40" s="20">
        <f>'Maize Price IPA-STEP 1'!I132</f>
        <v>-3.6118127083471174E-2</v>
      </c>
      <c r="Q40">
        <v>10</v>
      </c>
      <c r="R40">
        <f>'Maize Price IPA-STEP 1'!M24</f>
        <v>3.3090649981902587E-2</v>
      </c>
      <c r="S40">
        <f>'Maize Price IPA-STEP 1'!M36</f>
        <v>-1.1044433398398668E-2</v>
      </c>
      <c r="T40">
        <f>'Maize Price IPA-STEP 1'!M48</f>
        <v>-1.6239344324692095E-2</v>
      </c>
      <c r="U40">
        <f>'Maize Price IPA-STEP 1'!M60</f>
        <v>8.2872905318343015E-3</v>
      </c>
      <c r="V40">
        <f>'Maize Price IPA-STEP 1'!M72</f>
        <v>2.6440560324106688E-2</v>
      </c>
      <c r="W40">
        <f>'Maize Price IPA-STEP 1'!M84</f>
        <v>-3.6081829858371939E-2</v>
      </c>
      <c r="X40">
        <f>'Maize Price IPA-STEP 1'!M96</f>
        <v>-3.5768873829382652E-3</v>
      </c>
      <c r="Y40">
        <f>'Maize Price IPA-STEP 1'!M108</f>
        <v>2.3440922693477306E-2</v>
      </c>
      <c r="Z40">
        <f>'Maize Price IPA-STEP 1'!M120</f>
        <v>2.6283422462749506E-3</v>
      </c>
      <c r="AA40">
        <f>'Maize Price IPA-STEP 1'!M132</f>
        <v>-1.1615838718702309E-2</v>
      </c>
      <c r="AO40" s="1">
        <v>40603</v>
      </c>
      <c r="AP40">
        <f>'Maize Price IPA-STEP 1'!D65</f>
        <v>22.563821287271931</v>
      </c>
      <c r="AQ40">
        <f t="shared" si="8"/>
        <v>4.140032246992706</v>
      </c>
      <c r="AR40" t="str">
        <f t="shared" si="2"/>
        <v/>
      </c>
      <c r="AS40" t="str">
        <f t="shared" si="3"/>
        <v/>
      </c>
      <c r="AT40" t="str">
        <f t="shared" si="4"/>
        <v/>
      </c>
      <c r="AU40" t="str">
        <f t="shared" si="5"/>
        <v/>
      </c>
      <c r="AV40" s="8">
        <f t="shared" si="9"/>
        <v>4.140032246992706</v>
      </c>
    </row>
    <row r="41" spans="1:48">
      <c r="A41">
        <v>11</v>
      </c>
      <c r="B41">
        <f>'Maize Price IPA-STEP 1'!I13</f>
        <v>-9.1819591544917145E-4</v>
      </c>
      <c r="C41">
        <f>'Maize Price IPA-STEP 1'!I25</f>
        <v>-0.10815948475788439</v>
      </c>
      <c r="D41">
        <f>'Maize Price IPA-STEP 1'!I37</f>
        <v>-5.8707414565662974E-2</v>
      </c>
      <c r="E41">
        <f>'Maize Price IPA-STEP 1'!I49</f>
        <v>-3.9103970861402382E-2</v>
      </c>
      <c r="F41">
        <f>'Maize Price IPA-STEP 1'!I61</f>
        <v>2.0037965476227271E-4</v>
      </c>
      <c r="G41">
        <f>'Maize Price IPA-STEP 1'!I73</f>
        <v>-0.1673252070355401</v>
      </c>
      <c r="H41">
        <f>'Maize Price IPA-STEP 1'!I85</f>
        <v>-7.0248265924342967E-2</v>
      </c>
      <c r="I41">
        <f>'Maize Price IPA-STEP 1'!I97</f>
        <v>-3.7146925049266422E-2</v>
      </c>
      <c r="J41">
        <f>'Maize Price IPA-STEP 1'!I109</f>
        <v>-5.426127680212478E-2</v>
      </c>
      <c r="K41">
        <f>'Maize Price IPA-STEP 1'!I121</f>
        <v>-3.6927770687202321E-2</v>
      </c>
      <c r="L41" s="20">
        <f>'Maize Price IPA-STEP 1'!I133</f>
        <v>-6.3228699927523335E-2</v>
      </c>
      <c r="Q41">
        <v>11</v>
      </c>
      <c r="R41">
        <f>'Maize Price IPA-STEP 1'!M25</f>
        <v>1.5065816393401654E-2</v>
      </c>
      <c r="S41">
        <f>'Maize Price IPA-STEP 1'!M37</f>
        <v>-1.8481601800083292E-3</v>
      </c>
      <c r="T41">
        <f>'Maize Price IPA-STEP 1'!M49</f>
        <v>-6.6875319873487271E-3</v>
      </c>
      <c r="U41">
        <f>'Maize Price IPA-STEP 1'!M61</f>
        <v>4.581224835027653E-3</v>
      </c>
      <c r="V41">
        <f>'Maize Price IPA-STEP 1'!M73</f>
        <v>1.1793906854245861E-2</v>
      </c>
      <c r="W41">
        <f>'Maize Price IPA-STEP 1'!M85</f>
        <v>-2.0923516346086246E-2</v>
      </c>
      <c r="X41">
        <f>'Maize Price IPA-STEP 1'!M97</f>
        <v>-3.4163259472941299E-3</v>
      </c>
      <c r="Y41">
        <f>'Maize Price IPA-STEP 1'!M109</f>
        <v>2.2538500354221114E-2</v>
      </c>
      <c r="Z41">
        <f>'Maize Price IPA-STEP 1'!M121</f>
        <v>2.2138106884730391E-3</v>
      </c>
      <c r="AA41">
        <f>'Maize Price IPA-STEP 1'!M133</f>
        <v>-1.6889685497433304E-2</v>
      </c>
      <c r="AO41" s="1">
        <v>40634</v>
      </c>
      <c r="AP41">
        <f>'Maize Price IPA-STEP 1'!D66</f>
        <v>24.224126448630162</v>
      </c>
      <c r="AQ41">
        <f t="shared" si="8"/>
        <v>3.3258611415715893</v>
      </c>
      <c r="AR41" t="str">
        <f t="shared" si="2"/>
        <v/>
      </c>
      <c r="AS41" t="str">
        <f t="shared" si="3"/>
        <v/>
      </c>
      <c r="AT41" t="str">
        <f t="shared" si="4"/>
        <v/>
      </c>
      <c r="AU41" t="str">
        <f t="shared" si="5"/>
        <v/>
      </c>
      <c r="AV41" s="8">
        <f t="shared" si="9"/>
        <v>3.3258611415715893</v>
      </c>
    </row>
    <row r="42" spans="1:48">
      <c r="A42">
        <v>12</v>
      </c>
      <c r="B42">
        <f>'Maize Price IPA-STEP 1'!I14</f>
        <v>-2.8355757157335404E-2</v>
      </c>
      <c r="C42">
        <f>'Maize Price IPA-STEP 1'!I26</f>
        <v>-8.7558143234197416E-2</v>
      </c>
      <c r="D42">
        <f>'Maize Price IPA-STEP 1'!I38</f>
        <v>-3.6950381572475322E-2</v>
      </c>
      <c r="E42">
        <f>'Maize Price IPA-STEP 1'!I50</f>
        <v>-3.0206146513399812E-2</v>
      </c>
      <c r="F42">
        <f>'Maize Price IPA-STEP 1'!I62</f>
        <v>-3.6746609732755786E-2</v>
      </c>
      <c r="G42">
        <f>'Maize Price IPA-STEP 1'!I74</f>
        <v>-9.7846548573682801E-2</v>
      </c>
      <c r="H42">
        <f>'Maize Price IPA-STEP 1'!I86</f>
        <v>-3.6977308109888751E-2</v>
      </c>
      <c r="I42">
        <f>'Maize Price IPA-STEP 1'!I98</f>
        <v>-6.0801683939869844E-2</v>
      </c>
      <c r="J42">
        <f>'Maize Price IPA-STEP 1'!I110</f>
        <v>-1.3624213999138268E-2</v>
      </c>
      <c r="K42">
        <f>'Maize Price IPA-STEP 1'!I122</f>
        <v>-3.3649726301650418E-2</v>
      </c>
      <c r="L42" s="20">
        <f>'Maize Price IPA-STEP 1'!I134</f>
        <v>-8.2562089967076369E-2</v>
      </c>
      <c r="Q42">
        <v>12</v>
      </c>
      <c r="R42">
        <f>'Maize Price IPA-STEP 1'!M26</f>
        <v>2.2984195815638042E-2</v>
      </c>
      <c r="S42">
        <f>'Maize Price IPA-STEP 1'!M38</f>
        <v>2.050739565737647E-4</v>
      </c>
      <c r="T42">
        <f>'Maize Price IPA-STEP 1'!M50</f>
        <v>-1.6533522597896533E-2</v>
      </c>
      <c r="U42">
        <f>'Maize Price IPA-STEP 1'!M62</f>
        <v>1.2945240855523066E-2</v>
      </c>
      <c r="V42">
        <f>'Maize Price IPA-STEP 1'!M74</f>
        <v>9.3752760128631429E-3</v>
      </c>
      <c r="W42">
        <f>'Maize Price IPA-STEP 1'!M86</f>
        <v>-2.0999756980220941E-2</v>
      </c>
      <c r="X42">
        <f>'Maize Price IPA-STEP 1'!M98</f>
        <v>-9.6961888239104344E-3</v>
      </c>
      <c r="Y42">
        <f>'Maize Price IPA-STEP 1'!M110</f>
        <v>2.6606855582173905E-2</v>
      </c>
      <c r="Z42">
        <f>'Maize Price IPA-STEP 1'!M122</f>
        <v>2.2616842274243432E-3</v>
      </c>
      <c r="AA42">
        <f>'Maize Price IPA-STEP 1'!M134</f>
        <v>-2.0544513271473774E-2</v>
      </c>
      <c r="AO42" s="1">
        <v>40664</v>
      </c>
      <c r="AP42">
        <f>'Maize Price IPA-STEP 1'!D67</f>
        <v>25.888491404768498</v>
      </c>
      <c r="AQ42">
        <f t="shared" si="8"/>
        <v>3.4945727300088998</v>
      </c>
      <c r="AR42" t="str">
        <f t="shared" si="2"/>
        <v/>
      </c>
      <c r="AS42" t="str">
        <f t="shared" si="3"/>
        <v/>
      </c>
      <c r="AT42" t="str">
        <f t="shared" si="4"/>
        <v/>
      </c>
      <c r="AU42" t="str">
        <f t="shared" si="5"/>
        <v/>
      </c>
      <c r="AV42" s="8">
        <f t="shared" si="9"/>
        <v>3.4945727300088998</v>
      </c>
    </row>
    <row r="43" spans="1:48">
      <c r="B43" s="25" t="s">
        <v>172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17"/>
      <c r="N43" s="17"/>
      <c r="O43" s="17"/>
      <c r="R43" s="25" t="s">
        <v>178</v>
      </c>
      <c r="S43" s="25"/>
      <c r="T43" s="25"/>
      <c r="U43" s="25"/>
      <c r="V43" s="25"/>
      <c r="W43" s="25"/>
      <c r="X43" s="25"/>
      <c r="Y43" s="25"/>
      <c r="Z43" s="25"/>
      <c r="AA43" s="25"/>
      <c r="AC43" s="25" t="s">
        <v>179</v>
      </c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O43" s="1">
        <v>40695</v>
      </c>
      <c r="AP43">
        <f>'Maize Price IPA-STEP 1'!D68</f>
        <v>30.321404293658837</v>
      </c>
      <c r="AQ43">
        <f t="shared" si="8"/>
        <v>3.8459687947308985</v>
      </c>
      <c r="AR43" t="str">
        <f t="shared" si="2"/>
        <v/>
      </c>
      <c r="AS43" t="str">
        <f t="shared" si="3"/>
        <v/>
      </c>
      <c r="AT43" t="str">
        <f t="shared" si="4"/>
        <v/>
      </c>
      <c r="AU43" t="str">
        <f t="shared" si="5"/>
        <v/>
      </c>
      <c r="AV43" s="8">
        <f t="shared" si="9"/>
        <v>3.8459687947308985</v>
      </c>
    </row>
    <row r="44" spans="1:48">
      <c r="A44" t="s">
        <v>76</v>
      </c>
      <c r="B44" t="s">
        <v>86</v>
      </c>
      <c r="C44" t="s">
        <v>87</v>
      </c>
      <c r="D44" t="s">
        <v>88</v>
      </c>
      <c r="E44" t="s">
        <v>89</v>
      </c>
      <c r="F44" t="s">
        <v>90</v>
      </c>
      <c r="G44" t="s">
        <v>91</v>
      </c>
      <c r="H44" t="s">
        <v>92</v>
      </c>
      <c r="I44" t="s">
        <v>93</v>
      </c>
      <c r="J44" t="s">
        <v>94</v>
      </c>
      <c r="K44" t="s">
        <v>125</v>
      </c>
      <c r="L44" t="s">
        <v>144</v>
      </c>
      <c r="Q44" t="s">
        <v>76</v>
      </c>
      <c r="R44" t="s">
        <v>103</v>
      </c>
      <c r="S44" t="s">
        <v>104</v>
      </c>
      <c r="T44" t="s">
        <v>105</v>
      </c>
      <c r="U44" t="s">
        <v>106</v>
      </c>
      <c r="V44" t="s">
        <v>107</v>
      </c>
      <c r="W44" t="s">
        <v>108</v>
      </c>
      <c r="X44" t="s">
        <v>109</v>
      </c>
      <c r="Y44" t="s">
        <v>110</v>
      </c>
      <c r="Z44" t="s">
        <v>131</v>
      </c>
      <c r="AA44" t="s">
        <v>146</v>
      </c>
      <c r="AC44" s="22" t="s">
        <v>76</v>
      </c>
      <c r="AD44" s="22" t="s">
        <v>111</v>
      </c>
      <c r="AE44" s="22" t="s">
        <v>112</v>
      </c>
      <c r="AF44" s="22" t="s">
        <v>113</v>
      </c>
      <c r="AG44" s="22" t="s">
        <v>114</v>
      </c>
      <c r="AH44" s="22" t="s">
        <v>115</v>
      </c>
      <c r="AI44" s="22" t="s">
        <v>116</v>
      </c>
      <c r="AJ44" s="22" t="s">
        <v>117</v>
      </c>
      <c r="AK44" s="22" t="s">
        <v>118</v>
      </c>
      <c r="AL44" s="22" t="s">
        <v>132</v>
      </c>
      <c r="AM44" s="22" t="s">
        <v>147</v>
      </c>
      <c r="AO44" s="1">
        <v>40725</v>
      </c>
      <c r="AP44">
        <f>'Maize Price IPA-STEP 1'!D69</f>
        <v>29.227504570667129</v>
      </c>
      <c r="AQ44">
        <f t="shared" si="8"/>
        <v>2.78522033533224</v>
      </c>
      <c r="AR44" t="str">
        <f t="shared" si="2"/>
        <v/>
      </c>
      <c r="AS44" t="str">
        <f t="shared" si="3"/>
        <v/>
      </c>
      <c r="AT44" t="str">
        <f t="shared" si="4"/>
        <v/>
      </c>
      <c r="AU44" t="str">
        <f t="shared" si="5"/>
        <v/>
      </c>
      <c r="AV44" s="8">
        <f t="shared" si="9"/>
        <v>2.78522033533224</v>
      </c>
    </row>
    <row r="45" spans="1:48">
      <c r="A45">
        <v>1</v>
      </c>
      <c r="D45">
        <f t="shared" ref="D45:K45" si="10">(D31-D3)/D17</f>
        <v>-12.234362701821485</v>
      </c>
      <c r="E45">
        <f t="shared" si="10"/>
        <v>-0.58010221895585989</v>
      </c>
      <c r="F45">
        <f t="shared" si="10"/>
        <v>0.37429715719445511</v>
      </c>
      <c r="G45">
        <f t="shared" si="10"/>
        <v>6.1693030707700043</v>
      </c>
      <c r="H45">
        <f t="shared" si="10"/>
        <v>-1.0822540951596549</v>
      </c>
      <c r="I45">
        <f t="shared" si="10"/>
        <v>-0.11439321071090412</v>
      </c>
      <c r="J45" s="10">
        <f t="shared" si="10"/>
        <v>-0.42922110881984993</v>
      </c>
      <c r="K45" s="10">
        <f t="shared" si="10"/>
        <v>1.1578355572853045</v>
      </c>
      <c r="L45" s="10">
        <f>+(L31-L3)/L17</f>
        <v>9.7243906165811619E-2</v>
      </c>
      <c r="Q45">
        <v>1</v>
      </c>
      <c r="T45">
        <f t="shared" ref="T45:AA45" si="11">(T31-T3)/T17</f>
        <v>-4.4694516237838062</v>
      </c>
      <c r="U45">
        <f t="shared" si="11"/>
        <v>-1.3074012805677733</v>
      </c>
      <c r="V45">
        <f t="shared" si="11"/>
        <v>3.5957188726727107</v>
      </c>
      <c r="W45">
        <f t="shared" si="11"/>
        <v>-1.1505019327519517</v>
      </c>
      <c r="X45">
        <f t="shared" si="11"/>
        <v>-1.5797853086160527</v>
      </c>
      <c r="Y45">
        <f t="shared" si="11"/>
        <v>-0.24001058669684261</v>
      </c>
      <c r="Z45">
        <f t="shared" si="11"/>
        <v>2.5971279509649108</v>
      </c>
      <c r="AA45">
        <f t="shared" si="11"/>
        <v>-0.46309272498361032</v>
      </c>
      <c r="AC45" s="22">
        <v>1</v>
      </c>
      <c r="AD45" s="23">
        <f t="shared" ref="AD45:AM56" si="12">(0.4*C45+0.6*R45)</f>
        <v>0</v>
      </c>
      <c r="AE45" s="23">
        <f t="shared" si="12"/>
        <v>-4.8937450807285945</v>
      </c>
      <c r="AF45" s="23">
        <f t="shared" si="12"/>
        <v>-2.9137118618526276</v>
      </c>
      <c r="AG45" s="23">
        <f t="shared" si="12"/>
        <v>-0.63472190546288187</v>
      </c>
      <c r="AH45" s="23">
        <f t="shared" si="12"/>
        <v>4.6251525519116283</v>
      </c>
      <c r="AI45" s="23">
        <f t="shared" si="12"/>
        <v>-1.123202797715033</v>
      </c>
      <c r="AJ45" s="23">
        <f t="shared" si="12"/>
        <v>-0.99362846945399319</v>
      </c>
      <c r="AK45" s="23">
        <f t="shared" si="12"/>
        <v>-0.31569479554604551</v>
      </c>
      <c r="AL45" s="23">
        <f t="shared" si="12"/>
        <v>2.0214109934930682</v>
      </c>
      <c r="AM45" s="24">
        <f t="shared" si="12"/>
        <v>-0.23895807252384155</v>
      </c>
      <c r="AO45" s="1">
        <v>40756</v>
      </c>
      <c r="AP45">
        <f>'Maize Price IPA-STEP 1'!D70</f>
        <v>29.748794997988</v>
      </c>
      <c r="AQ45">
        <f t="shared" si="8"/>
        <v>2.9992653942187033</v>
      </c>
      <c r="AR45" t="str">
        <f t="shared" si="2"/>
        <v/>
      </c>
      <c r="AS45" t="str">
        <f t="shared" si="3"/>
        <v/>
      </c>
      <c r="AT45" t="str">
        <f t="shared" si="4"/>
        <v/>
      </c>
      <c r="AU45" t="str">
        <f t="shared" si="5"/>
        <v/>
      </c>
      <c r="AV45" s="8">
        <f t="shared" si="9"/>
        <v>2.9992653942187033</v>
      </c>
    </row>
    <row r="46" spans="1:48">
      <c r="A46">
        <v>2</v>
      </c>
      <c r="D46">
        <f t="shared" ref="D46:K46" si="13">(D32-D4)/D18</f>
        <v>-0.12879063029511809</v>
      </c>
      <c r="E46">
        <f t="shared" si="13"/>
        <v>-2.7067889400692242</v>
      </c>
      <c r="F46">
        <f t="shared" si="13"/>
        <v>-1.5939639763785347</v>
      </c>
      <c r="G46">
        <f t="shared" si="13"/>
        <v>6.252094111612772</v>
      </c>
      <c r="H46">
        <f t="shared" si="13"/>
        <v>-0.68542065332885327</v>
      </c>
      <c r="I46">
        <f t="shared" si="13"/>
        <v>-0.72340400368492996</v>
      </c>
      <c r="J46" s="10">
        <f t="shared" si="13"/>
        <v>-0.59704281916404423</v>
      </c>
      <c r="K46" s="10">
        <f t="shared" si="13"/>
        <v>0.62213395538666305</v>
      </c>
      <c r="L46" s="10">
        <f>+(L32-L4)/L18</f>
        <v>-8.5637316846878045E-2</v>
      </c>
      <c r="Q46">
        <v>2</v>
      </c>
      <c r="T46">
        <f t="shared" ref="T46:AA46" si="14">(T32-T4)/T18</f>
        <v>-20.053225853195151</v>
      </c>
      <c r="U46">
        <f t="shared" si="14"/>
        <v>-1.2921136055091493</v>
      </c>
      <c r="V46">
        <f t="shared" si="14"/>
        <v>4.9862742996731262</v>
      </c>
      <c r="W46">
        <f t="shared" si="14"/>
        <v>-1.6965026508450995</v>
      </c>
      <c r="X46">
        <f t="shared" si="14"/>
        <v>-1.1368367467588896</v>
      </c>
      <c r="Y46">
        <f t="shared" si="14"/>
        <v>2.9826857408759261E-2</v>
      </c>
      <c r="Z46">
        <f t="shared" si="14"/>
        <v>2.0996420777907669</v>
      </c>
      <c r="AA46">
        <f t="shared" si="14"/>
        <v>-0.37855066733888165</v>
      </c>
      <c r="AC46" s="22">
        <v>2</v>
      </c>
      <c r="AD46" s="23">
        <f t="shared" ref="AD46:AD56" si="15">(0.4*C46+0.6*R46)</f>
        <v>0</v>
      </c>
      <c r="AE46" s="23">
        <f t="shared" ref="AE46:AE56" si="16">(0.4*D46+0.6*S46)</f>
        <v>-5.1516252118047237E-2</v>
      </c>
      <c r="AF46" s="23">
        <f t="shared" ref="AF46:AF56" si="17">(0.4*E46+0.6*T46)</f>
        <v>-13.114651087944781</v>
      </c>
      <c r="AG46" s="23">
        <f t="shared" ref="AG46:AG56" si="18">(0.4*F46+0.6*U46)</f>
        <v>-1.4128537538569035</v>
      </c>
      <c r="AH46" s="23">
        <f t="shared" ref="AH46:AH56" si="19">(0.4*G46+0.6*V46)</f>
        <v>5.4926022244489845</v>
      </c>
      <c r="AI46" s="23">
        <f t="shared" ref="AI46:AI56" si="20">(0.4*H46+0.6*W46)</f>
        <v>-1.2920698518386009</v>
      </c>
      <c r="AJ46" s="23">
        <f t="shared" ref="AJ46:AJ56" si="21">(0.4*I46+0.6*X46)</f>
        <v>-0.97146364952930564</v>
      </c>
      <c r="AK46" s="23">
        <f t="shared" ref="AK46:AK54" si="22">(0.4*J46+0.6*Y46)</f>
        <v>-0.22092101322036214</v>
      </c>
      <c r="AL46" s="23">
        <f t="shared" ref="AL46:AL54" si="23">(0.4*K46+0.6*Z46)</f>
        <v>1.5086388288291253</v>
      </c>
      <c r="AM46" s="24">
        <f t="shared" si="12"/>
        <v>-0.26138532714208018</v>
      </c>
      <c r="AO46" s="1">
        <v>40787</v>
      </c>
      <c r="AP46">
        <f>'Maize Price IPA-STEP 1'!D71</f>
        <v>23.522554934822931</v>
      </c>
      <c r="AQ46" t="str">
        <f t="shared" si="8"/>
        <v/>
      </c>
      <c r="AR46" t="str">
        <f t="shared" si="2"/>
        <v/>
      </c>
      <c r="AS46">
        <f t="shared" si="3"/>
        <v>0.17398739261755647</v>
      </c>
      <c r="AT46" t="str">
        <f t="shared" si="4"/>
        <v/>
      </c>
      <c r="AU46" t="str">
        <f t="shared" si="5"/>
        <v/>
      </c>
      <c r="AV46" s="8">
        <f t="shared" si="9"/>
        <v>0.17398739261755647</v>
      </c>
    </row>
    <row r="47" spans="1:48">
      <c r="A47">
        <v>3</v>
      </c>
      <c r="D47">
        <f t="shared" ref="D47:I47" si="24">(D33-D5)/D19</f>
        <v>-0.469911193645623</v>
      </c>
      <c r="E47">
        <f t="shared" si="24"/>
        <v>-0.93090389805312379</v>
      </c>
      <c r="F47">
        <f t="shared" si="24"/>
        <v>-0.83965666081651003</v>
      </c>
      <c r="G47">
        <f t="shared" si="24"/>
        <v>3.7664822456994083</v>
      </c>
      <c r="H47">
        <f t="shared" si="24"/>
        <v>-0.8258119622724448</v>
      </c>
      <c r="I47">
        <f t="shared" si="24"/>
        <v>-0.68549450816557755</v>
      </c>
      <c r="J47" s="10">
        <f>(J33-J5)/J19</f>
        <v>-6.7535974679563446E-2</v>
      </c>
      <c r="K47" s="10">
        <f t="shared" ref="K47" si="25">(K33-K5)/K19</f>
        <v>0.46346061365656332</v>
      </c>
      <c r="L47" s="10">
        <f t="shared" ref="L47:L56" si="26">+(L33-L5)/L19</f>
        <v>-0.12326858138960983</v>
      </c>
      <c r="Q47">
        <v>3</v>
      </c>
      <c r="T47">
        <f t="shared" ref="T47:AA47" si="27">(T33-T5)/T19</f>
        <v>-5.8418401493353009</v>
      </c>
      <c r="U47">
        <f t="shared" si="27"/>
        <v>-2.826635644286867</v>
      </c>
      <c r="V47">
        <f t="shared" si="27"/>
        <v>4.3890655811882375</v>
      </c>
      <c r="W47">
        <f t="shared" si="27"/>
        <v>-1.4464405678846055</v>
      </c>
      <c r="X47">
        <f t="shared" si="27"/>
        <v>-0.96144234540692886</v>
      </c>
      <c r="Y47">
        <f t="shared" si="27"/>
        <v>3.3050379991294475E-2</v>
      </c>
      <c r="Z47">
        <f t="shared" si="27"/>
        <v>1.738055200100145</v>
      </c>
      <c r="AA47">
        <f t="shared" si="27"/>
        <v>-0.2741959694480543</v>
      </c>
      <c r="AC47" s="22">
        <v>3</v>
      </c>
      <c r="AD47" s="23">
        <f t="shared" si="15"/>
        <v>0</v>
      </c>
      <c r="AE47" s="23">
        <f t="shared" si="16"/>
        <v>-0.18796447745824921</v>
      </c>
      <c r="AF47" s="23">
        <f t="shared" si="17"/>
        <v>-3.8774656488224299</v>
      </c>
      <c r="AG47" s="23">
        <f t="shared" si="18"/>
        <v>-2.0318440508987239</v>
      </c>
      <c r="AH47" s="23">
        <f t="shared" si="19"/>
        <v>4.140032246992706</v>
      </c>
      <c r="AI47" s="23">
        <f t="shared" si="20"/>
        <v>-1.1981891256397412</v>
      </c>
      <c r="AJ47" s="23">
        <f t="shared" si="21"/>
        <v>-0.85106321051038836</v>
      </c>
      <c r="AK47" s="23">
        <f t="shared" si="22"/>
        <v>-7.1841618770486955E-3</v>
      </c>
      <c r="AL47" s="23">
        <f t="shared" si="23"/>
        <v>1.2282173655227122</v>
      </c>
      <c r="AM47" s="24">
        <f t="shared" si="12"/>
        <v>-0.21382501422467651</v>
      </c>
      <c r="AO47" s="1">
        <v>40817</v>
      </c>
      <c r="AP47">
        <f>'Maize Price IPA-STEP 1'!D72</f>
        <v>20.798926574729713</v>
      </c>
      <c r="AQ47" t="str">
        <f t="shared" si="8"/>
        <v/>
      </c>
      <c r="AR47" t="str">
        <f t="shared" si="2"/>
        <v/>
      </c>
      <c r="AS47">
        <f t="shared" si="3"/>
        <v>0.21533287621498198</v>
      </c>
      <c r="AT47" t="str">
        <f t="shared" si="4"/>
        <v/>
      </c>
      <c r="AU47" t="str">
        <f t="shared" si="5"/>
        <v/>
      </c>
      <c r="AV47" s="8">
        <f t="shared" si="9"/>
        <v>0.21533287621498198</v>
      </c>
    </row>
    <row r="48" spans="1:48">
      <c r="A48">
        <v>4</v>
      </c>
      <c r="D48">
        <f t="shared" ref="D48:K48" si="28">(D34-D6)/D20</f>
        <v>-0.46607039633414404</v>
      </c>
      <c r="E48">
        <f t="shared" si="28"/>
        <v>-0.18667642944255797</v>
      </c>
      <c r="F48">
        <f t="shared" si="28"/>
        <v>-1.3353313788961954</v>
      </c>
      <c r="G48">
        <f t="shared" si="28"/>
        <v>1.2734645273603697</v>
      </c>
      <c r="H48">
        <f t="shared" si="28"/>
        <v>-2.2529005495105161</v>
      </c>
      <c r="I48">
        <f t="shared" si="28"/>
        <v>-0.25588257538805609</v>
      </c>
      <c r="J48" s="10">
        <f t="shared" si="28"/>
        <v>0.45161532648856323</v>
      </c>
      <c r="K48" s="10">
        <f t="shared" si="28"/>
        <v>-1.1788577124917061</v>
      </c>
      <c r="L48" s="10">
        <f t="shared" si="26"/>
        <v>-0.33897506847717696</v>
      </c>
      <c r="Q48">
        <v>4</v>
      </c>
      <c r="T48">
        <f t="shared" ref="T48:AA48" si="29">(T34-T6)/T20</f>
        <v>-5.1619305758922254</v>
      </c>
      <c r="U48">
        <f t="shared" si="29"/>
        <v>-2.221967861858487</v>
      </c>
      <c r="V48">
        <f t="shared" si="29"/>
        <v>4.6941255510457358</v>
      </c>
      <c r="W48">
        <f t="shared" si="29"/>
        <v>-1.7396966534464187</v>
      </c>
      <c r="X48">
        <f t="shared" si="29"/>
        <v>-0.58324638141639185</v>
      </c>
      <c r="Y48">
        <f t="shared" si="29"/>
        <v>4.1896797267206465E-2</v>
      </c>
      <c r="Z48">
        <f t="shared" si="29"/>
        <v>1.4872185544798306</v>
      </c>
      <c r="AA48">
        <f t="shared" si="29"/>
        <v>-0.22427136417635268</v>
      </c>
      <c r="AC48" s="22">
        <v>4</v>
      </c>
      <c r="AD48" s="23">
        <f t="shared" si="15"/>
        <v>0</v>
      </c>
      <c r="AE48" s="23">
        <f t="shared" si="16"/>
        <v>-0.18642815853365763</v>
      </c>
      <c r="AF48" s="23">
        <f t="shared" si="17"/>
        <v>-3.1718289173123586</v>
      </c>
      <c r="AG48" s="23">
        <f t="shared" si="18"/>
        <v>-1.8673132686735703</v>
      </c>
      <c r="AH48" s="23">
        <f t="shared" si="19"/>
        <v>3.3258611415715893</v>
      </c>
      <c r="AI48" s="23">
        <f t="shared" si="20"/>
        <v>-1.9449782118720575</v>
      </c>
      <c r="AJ48" s="23">
        <f t="shared" si="21"/>
        <v>-0.45230085900505757</v>
      </c>
      <c r="AK48" s="23">
        <f t="shared" si="22"/>
        <v>0.2057842089557492</v>
      </c>
      <c r="AL48" s="23">
        <f t="shared" si="23"/>
        <v>0.42078804769121586</v>
      </c>
      <c r="AM48" s="24">
        <f t="shared" si="12"/>
        <v>-0.27015284589668243</v>
      </c>
      <c r="AO48" s="1">
        <v>40848</v>
      </c>
      <c r="AP48">
        <f>'Maize Price IPA-STEP 1'!D73</f>
        <v>17.174955960798894</v>
      </c>
      <c r="AQ48" t="str">
        <f t="shared" si="8"/>
        <v/>
      </c>
      <c r="AR48" t="str">
        <f t="shared" si="2"/>
        <v/>
      </c>
      <c r="AS48">
        <f t="shared" si="3"/>
        <v>-0.34739874952786676</v>
      </c>
      <c r="AT48" t="str">
        <f t="shared" si="4"/>
        <v/>
      </c>
      <c r="AU48" t="str">
        <f t="shared" si="5"/>
        <v/>
      </c>
      <c r="AV48" s="8">
        <f t="shared" si="9"/>
        <v>-0.34739874952786676</v>
      </c>
    </row>
    <row r="49" spans="1:48">
      <c r="A49">
        <v>5</v>
      </c>
      <c r="D49">
        <f t="shared" ref="D49:K49" si="30">(D35-D7)/D21</f>
        <v>-0.84004695726060397</v>
      </c>
      <c r="E49">
        <f t="shared" si="30"/>
        <v>-0.54761376663144756</v>
      </c>
      <c r="F49">
        <f t="shared" si="30"/>
        <v>-1.4359104582815618</v>
      </c>
      <c r="G49">
        <f t="shared" si="30"/>
        <v>0.94669849981900944</v>
      </c>
      <c r="H49">
        <f t="shared" si="30"/>
        <v>-1.7220961260871221</v>
      </c>
      <c r="I49">
        <f t="shared" si="30"/>
        <v>-0.15835172883679258</v>
      </c>
      <c r="J49" s="10">
        <f t="shared" si="30"/>
        <v>0.38344438083509169</v>
      </c>
      <c r="K49" s="10">
        <f t="shared" si="30"/>
        <v>-1.1153413112093715</v>
      </c>
      <c r="L49" s="10">
        <f t="shared" si="26"/>
        <v>-0.56064439666290389</v>
      </c>
      <c r="Q49">
        <v>5</v>
      </c>
      <c r="T49">
        <f t="shared" ref="T49:AA49" si="31">(T35-T7)/T21</f>
        <v>-1.4408658935587484</v>
      </c>
      <c r="U49">
        <f t="shared" si="31"/>
        <v>-1.3832966183147368</v>
      </c>
      <c r="V49">
        <f t="shared" si="31"/>
        <v>5.1931555501354936</v>
      </c>
      <c r="W49">
        <f t="shared" si="31"/>
        <v>-1.889472977564421</v>
      </c>
      <c r="X49">
        <f t="shared" si="31"/>
        <v>-0.37611400675482715</v>
      </c>
      <c r="Y49">
        <f t="shared" si="31"/>
        <v>0.1694450179137211</v>
      </c>
      <c r="Z49">
        <f t="shared" si="31"/>
        <v>1.1456816460939498</v>
      </c>
      <c r="AA49">
        <f t="shared" si="31"/>
        <v>-0.19859030384253831</v>
      </c>
      <c r="AC49" s="22">
        <v>5</v>
      </c>
      <c r="AD49" s="23">
        <f t="shared" si="15"/>
        <v>0</v>
      </c>
      <c r="AE49" s="23">
        <f t="shared" si="16"/>
        <v>-0.33601878290424159</v>
      </c>
      <c r="AF49" s="23">
        <f t="shared" si="17"/>
        <v>-1.0835650427878281</v>
      </c>
      <c r="AG49" s="23">
        <f t="shared" si="18"/>
        <v>-1.4043421543014669</v>
      </c>
      <c r="AH49" s="23">
        <f t="shared" si="19"/>
        <v>3.4945727300088998</v>
      </c>
      <c r="AI49" s="23">
        <f t="shared" si="20"/>
        <v>-1.8225222369735015</v>
      </c>
      <c r="AJ49" s="23">
        <f t="shared" si="21"/>
        <v>-0.28900909558761334</v>
      </c>
      <c r="AK49" s="23">
        <f t="shared" si="22"/>
        <v>0.25504476308226937</v>
      </c>
      <c r="AL49" s="23">
        <f t="shared" si="23"/>
        <v>0.2412724631726213</v>
      </c>
      <c r="AM49" s="24">
        <f t="shared" si="12"/>
        <v>-0.34341194097068456</v>
      </c>
      <c r="AO49" s="1">
        <v>40878</v>
      </c>
      <c r="AP49">
        <f>'Maize Price IPA-STEP 1'!D74</f>
        <v>17.271328175971611</v>
      </c>
      <c r="AQ49" t="str">
        <f t="shared" si="8"/>
        <v/>
      </c>
      <c r="AR49" t="str">
        <f t="shared" si="2"/>
        <v/>
      </c>
      <c r="AS49" t="str">
        <f t="shared" si="3"/>
        <v/>
      </c>
      <c r="AT49" t="str">
        <f t="shared" si="4"/>
        <v/>
      </c>
      <c r="AU49">
        <f t="shared" si="5"/>
        <v>-0.76000982126739625</v>
      </c>
      <c r="AV49" s="8">
        <f t="shared" si="9"/>
        <v>-0.76000982126739625</v>
      </c>
    </row>
    <row r="50" spans="1:48">
      <c r="A50">
        <v>6</v>
      </c>
      <c r="D50">
        <f t="shared" ref="D50:K50" si="32">(D36-D8)/D22</f>
        <v>-0.87673467255586857</v>
      </c>
      <c r="E50">
        <f t="shared" si="32"/>
        <v>-1.6180745608657328</v>
      </c>
      <c r="F50">
        <f t="shared" si="32"/>
        <v>-0.42545319887389704</v>
      </c>
      <c r="G50">
        <f t="shared" si="32"/>
        <v>1.683520540121143</v>
      </c>
      <c r="H50">
        <f t="shared" si="32"/>
        <v>-1.1893302192222555</v>
      </c>
      <c r="I50">
        <f t="shared" si="32"/>
        <v>-7.4266194295304802E-2</v>
      </c>
      <c r="J50" s="10">
        <f t="shared" si="32"/>
        <v>0.78653661980604528</v>
      </c>
      <c r="K50" s="10">
        <f t="shared" si="32"/>
        <v>-0.81806893253400992</v>
      </c>
      <c r="L50" s="10">
        <f t="shared" si="26"/>
        <v>-0.8998737425032215</v>
      </c>
      <c r="Q50">
        <v>6</v>
      </c>
      <c r="T50">
        <f t="shared" ref="T50:AA50" si="33">(T36-T8)/T22</f>
        <v>-1.470859252040686</v>
      </c>
      <c r="U50">
        <f t="shared" si="33"/>
        <v>-0.32854356020186354</v>
      </c>
      <c r="V50">
        <f t="shared" si="33"/>
        <v>5.2876009644707356</v>
      </c>
      <c r="W50">
        <f t="shared" si="33"/>
        <v>-1.9671377512452366</v>
      </c>
      <c r="X50">
        <f t="shared" si="33"/>
        <v>-0.16653232231957513</v>
      </c>
      <c r="Y50">
        <f t="shared" si="33"/>
        <v>0.28374947569870729</v>
      </c>
      <c r="Z50">
        <f t="shared" si="33"/>
        <v>0.53138102941507415</v>
      </c>
      <c r="AA50">
        <f t="shared" si="33"/>
        <v>-0.21865342240213315</v>
      </c>
      <c r="AC50" s="22">
        <v>6</v>
      </c>
      <c r="AD50" s="23">
        <f t="shared" si="15"/>
        <v>0</v>
      </c>
      <c r="AE50" s="23">
        <f t="shared" si="16"/>
        <v>-0.35069386902234745</v>
      </c>
      <c r="AF50" s="23">
        <f t="shared" si="17"/>
        <v>-1.5297453755707049</v>
      </c>
      <c r="AG50" s="23">
        <f t="shared" si="18"/>
        <v>-0.36730741567067693</v>
      </c>
      <c r="AH50" s="23">
        <f t="shared" si="19"/>
        <v>3.8459687947308985</v>
      </c>
      <c r="AI50" s="23">
        <f t="shared" si="20"/>
        <v>-1.6560147384360442</v>
      </c>
      <c r="AJ50" s="23">
        <f t="shared" si="21"/>
        <v>-0.12962587110986701</v>
      </c>
      <c r="AK50" s="23">
        <f t="shared" si="22"/>
        <v>0.48486433334164247</v>
      </c>
      <c r="AL50" s="23">
        <f t="shared" si="23"/>
        <v>-8.398955364559535E-3</v>
      </c>
      <c r="AM50" s="24">
        <f t="shared" si="12"/>
        <v>-0.49114155044256852</v>
      </c>
      <c r="AO50" s="1">
        <v>40909</v>
      </c>
      <c r="AP50">
        <f>'Maize Price IPA-STEP 1'!D75</f>
        <v>17.04453320947507</v>
      </c>
      <c r="AQ50" t="str">
        <f t="shared" si="8"/>
        <v/>
      </c>
      <c r="AR50" t="str">
        <f t="shared" si="2"/>
        <v/>
      </c>
      <c r="AS50" t="str">
        <f t="shared" si="3"/>
        <v/>
      </c>
      <c r="AT50">
        <f t="shared" si="4"/>
        <v>-1.123202797715033</v>
      </c>
      <c r="AU50" t="str">
        <f t="shared" si="5"/>
        <v/>
      </c>
      <c r="AV50" s="8">
        <f t="shared" ref="AV50:AV61" si="34">AI45</f>
        <v>-1.123202797715033</v>
      </c>
    </row>
    <row r="51" spans="1:48">
      <c r="A51">
        <v>7</v>
      </c>
      <c r="D51">
        <f t="shared" ref="D51:K51" si="35">(D37-D9)/D23</f>
        <v>-1.0595122275278674</v>
      </c>
      <c r="E51">
        <f t="shared" si="35"/>
        <v>-0.88088101632364901</v>
      </c>
      <c r="F51">
        <f t="shared" si="35"/>
        <v>0.13120982190747141</v>
      </c>
      <c r="G51">
        <f t="shared" si="35"/>
        <v>0.89780968689626806</v>
      </c>
      <c r="H51">
        <f t="shared" si="35"/>
        <v>-1.1068751483867276</v>
      </c>
      <c r="I51">
        <f t="shared" si="35"/>
        <v>-5.1273391155278479E-2</v>
      </c>
      <c r="J51" s="10">
        <f t="shared" si="35"/>
        <v>2.6983266954519922</v>
      </c>
      <c r="K51" s="10">
        <f t="shared" si="35"/>
        <v>-0.21666947425793229</v>
      </c>
      <c r="L51" s="10">
        <f t="shared" si="26"/>
        <v>-1.5087324548565402</v>
      </c>
      <c r="Q51">
        <v>7</v>
      </c>
      <c r="T51">
        <f t="shared" ref="T51:AA51" si="36">(T37-T9)/T23</f>
        <v>-0.78530196944846575</v>
      </c>
      <c r="U51">
        <f t="shared" si="36"/>
        <v>-0.20058052411720825</v>
      </c>
      <c r="V51">
        <f t="shared" si="36"/>
        <v>4.0434941009562211</v>
      </c>
      <c r="W51">
        <f t="shared" si="36"/>
        <v>-2.1520006418425677</v>
      </c>
      <c r="X51">
        <f t="shared" si="36"/>
        <v>-0.14425293699561348</v>
      </c>
      <c r="Y51">
        <f t="shared" si="36"/>
        <v>0.68410370849034896</v>
      </c>
      <c r="Z51">
        <f t="shared" si="36"/>
        <v>0.34192052326350064</v>
      </c>
      <c r="AA51">
        <f t="shared" si="36"/>
        <v>-0.6122045931941924</v>
      </c>
      <c r="AC51" s="22">
        <v>7</v>
      </c>
      <c r="AD51" s="23">
        <f t="shared" si="15"/>
        <v>0</v>
      </c>
      <c r="AE51" s="23">
        <f t="shared" si="16"/>
        <v>-0.42380489101114699</v>
      </c>
      <c r="AF51" s="23">
        <f t="shared" si="17"/>
        <v>-0.82353358819853906</v>
      </c>
      <c r="AG51" s="23">
        <f t="shared" si="18"/>
        <v>-6.7864385707336383E-2</v>
      </c>
      <c r="AH51" s="23">
        <f t="shared" si="19"/>
        <v>2.78522033533224</v>
      </c>
      <c r="AI51" s="23">
        <f t="shared" si="20"/>
        <v>-1.7339504444602316</v>
      </c>
      <c r="AJ51" s="23">
        <f t="shared" si="21"/>
        <v>-0.10706111865947948</v>
      </c>
      <c r="AK51" s="23">
        <f t="shared" si="22"/>
        <v>1.4897929032750064</v>
      </c>
      <c r="AL51" s="23">
        <f t="shared" si="23"/>
        <v>0.11848452425492746</v>
      </c>
      <c r="AM51" s="24">
        <f t="shared" si="12"/>
        <v>-0.97081573785913156</v>
      </c>
      <c r="AO51" s="1">
        <v>40940</v>
      </c>
      <c r="AP51">
        <f>'Maize Price IPA-STEP 1'!D76</f>
        <v>16.455748148148142</v>
      </c>
      <c r="AQ51" t="str">
        <f t="shared" si="8"/>
        <v/>
      </c>
      <c r="AR51" t="str">
        <f t="shared" si="2"/>
        <v/>
      </c>
      <c r="AS51" t="str">
        <f t="shared" si="3"/>
        <v/>
      </c>
      <c r="AT51">
        <f t="shared" si="4"/>
        <v>-1.2920698518386009</v>
      </c>
      <c r="AU51" t="str">
        <f t="shared" si="5"/>
        <v/>
      </c>
      <c r="AV51" s="8">
        <f t="shared" si="34"/>
        <v>-1.2920698518386009</v>
      </c>
    </row>
    <row r="52" spans="1:48">
      <c r="A52">
        <v>8</v>
      </c>
      <c r="D52">
        <f t="shared" ref="D52:K52" si="37">(D38-D10)/D24</f>
        <v>-1.2388342209822774</v>
      </c>
      <c r="E52">
        <f t="shared" si="37"/>
        <v>-1.0156382799445101</v>
      </c>
      <c r="F52">
        <f t="shared" si="37"/>
        <v>1.3823770928378478</v>
      </c>
      <c r="G52">
        <f t="shared" si="37"/>
        <v>0.88688663712363747</v>
      </c>
      <c r="H52">
        <f t="shared" si="37"/>
        <v>-0.33380857645656387</v>
      </c>
      <c r="I52">
        <f t="shared" si="37"/>
        <v>0.14992516606827253</v>
      </c>
      <c r="J52" s="10">
        <f t="shared" si="37"/>
        <v>6.9584108993121774</v>
      </c>
      <c r="K52" s="10">
        <f t="shared" si="37"/>
        <v>-0.81780144108974195</v>
      </c>
      <c r="L52" s="10">
        <f t="shared" si="26"/>
        <v>-1.3184669754709939</v>
      </c>
      <c r="Q52">
        <v>8</v>
      </c>
      <c r="T52">
        <f t="shared" ref="T52:AA52" si="38">(T38-T10)/T24</f>
        <v>-0.82703554388184408</v>
      </c>
      <c r="U52">
        <f t="shared" si="38"/>
        <v>-0.10541014061373118</v>
      </c>
      <c r="V52">
        <f t="shared" si="38"/>
        <v>4.4075178989487478</v>
      </c>
      <c r="W52">
        <f t="shared" si="38"/>
        <v>-2.1882527016630116</v>
      </c>
      <c r="X52">
        <f t="shared" si="38"/>
        <v>-0.28722019869216608</v>
      </c>
      <c r="Y52">
        <f t="shared" si="38"/>
        <v>0.96202039248106563</v>
      </c>
      <c r="Z52">
        <f t="shared" si="38"/>
        <v>-0.16231663641949529</v>
      </c>
      <c r="AA52">
        <f t="shared" si="38"/>
        <v>-0.36962665916037141</v>
      </c>
      <c r="AC52" s="22">
        <v>8</v>
      </c>
      <c r="AD52" s="23">
        <f t="shared" si="15"/>
        <v>0</v>
      </c>
      <c r="AE52" s="23">
        <f t="shared" si="16"/>
        <v>-0.49553368839291095</v>
      </c>
      <c r="AF52" s="23">
        <f t="shared" si="17"/>
        <v>-0.90247663830691049</v>
      </c>
      <c r="AG52" s="23">
        <f t="shared" si="18"/>
        <v>0.48970475276690045</v>
      </c>
      <c r="AH52" s="23">
        <f t="shared" si="19"/>
        <v>2.9992653942187033</v>
      </c>
      <c r="AI52" s="23">
        <f t="shared" si="20"/>
        <v>-1.4464750515804325</v>
      </c>
      <c r="AJ52" s="23">
        <f t="shared" si="21"/>
        <v>-0.11236205278799064</v>
      </c>
      <c r="AK52" s="23">
        <f t="shared" si="22"/>
        <v>3.3605765952135105</v>
      </c>
      <c r="AL52" s="23">
        <f t="shared" si="23"/>
        <v>-0.42451055828759399</v>
      </c>
      <c r="AM52" s="24">
        <f t="shared" si="12"/>
        <v>-0.74916278568462047</v>
      </c>
      <c r="AO52" s="1">
        <v>40969</v>
      </c>
      <c r="AP52">
        <f>'Maize Price IPA-STEP 1'!D77</f>
        <v>17.291296844181336</v>
      </c>
      <c r="AQ52" t="str">
        <f t="shared" si="8"/>
        <v/>
      </c>
      <c r="AR52" t="str">
        <f t="shared" si="2"/>
        <v/>
      </c>
      <c r="AS52" t="str">
        <f t="shared" si="3"/>
        <v/>
      </c>
      <c r="AT52">
        <f t="shared" si="4"/>
        <v>-1.1981891256397412</v>
      </c>
      <c r="AU52" t="str">
        <f t="shared" si="5"/>
        <v/>
      </c>
      <c r="AV52" s="8">
        <f t="shared" si="34"/>
        <v>-1.1981891256397412</v>
      </c>
    </row>
    <row r="53" spans="1:48">
      <c r="A53">
        <v>9</v>
      </c>
      <c r="D53">
        <f t="shared" ref="D53:K53" si="39">(D39-D11)/D25</f>
        <v>-1.4762842532369336</v>
      </c>
      <c r="E53">
        <f t="shared" si="39"/>
        <v>-0.27070301680707054</v>
      </c>
      <c r="F53">
        <f t="shared" si="39"/>
        <v>14.034446485243302</v>
      </c>
      <c r="G53">
        <f t="shared" si="39"/>
        <v>-1.7558234927438767</v>
      </c>
      <c r="H53">
        <f t="shared" si="39"/>
        <v>-0.12894345067876808</v>
      </c>
      <c r="I53">
        <f t="shared" si="39"/>
        <v>0.27388126639114024</v>
      </c>
      <c r="J53" s="10">
        <f t="shared" si="39"/>
        <v>0.91975593122633048</v>
      </c>
      <c r="K53" s="10">
        <f t="shared" si="39"/>
        <v>-5.937919667718141E-2</v>
      </c>
      <c r="L53" s="10">
        <f t="shared" si="26"/>
        <v>-0.26692121168469379</v>
      </c>
      <c r="Q53">
        <v>9</v>
      </c>
      <c r="T53">
        <f t="shared" ref="T53:AA53" si="40">(T39-T11)/T25</f>
        <v>-1.2889238129724809</v>
      </c>
      <c r="U53">
        <f t="shared" si="40"/>
        <v>1.2764689275978618</v>
      </c>
      <c r="V53">
        <f t="shared" si="40"/>
        <v>1.460527982858512</v>
      </c>
      <c r="W53">
        <f t="shared" si="40"/>
        <v>-2.676123527893556</v>
      </c>
      <c r="X53">
        <f t="shared" si="40"/>
        <v>2.3545944421813781E-3</v>
      </c>
      <c r="Y53">
        <f t="shared" si="40"/>
        <v>0.82182173345700138</v>
      </c>
      <c r="Z53">
        <f t="shared" si="40"/>
        <v>0.3456268554675519</v>
      </c>
      <c r="AA53">
        <f t="shared" si="40"/>
        <v>-0.45883365135990906</v>
      </c>
      <c r="AC53" s="22">
        <v>9</v>
      </c>
      <c r="AD53" s="23">
        <f t="shared" si="15"/>
        <v>0</v>
      </c>
      <c r="AE53" s="23">
        <f t="shared" si="16"/>
        <v>-0.59051370129477343</v>
      </c>
      <c r="AF53" s="23">
        <f t="shared" si="17"/>
        <v>-0.88163549450631684</v>
      </c>
      <c r="AG53" s="23">
        <f t="shared" si="18"/>
        <v>6.3796599506560385</v>
      </c>
      <c r="AH53" s="23">
        <f t="shared" si="19"/>
        <v>0.17398739261755647</v>
      </c>
      <c r="AI53" s="23">
        <f t="shared" si="20"/>
        <v>-1.6572514970076406</v>
      </c>
      <c r="AJ53" s="23">
        <f t="shared" si="21"/>
        <v>0.11096526322176492</v>
      </c>
      <c r="AK53" s="23">
        <f t="shared" si="22"/>
        <v>0.860995412564733</v>
      </c>
      <c r="AL53" s="23">
        <f t="shared" si="23"/>
        <v>0.18362443460965855</v>
      </c>
      <c r="AM53" s="24">
        <f t="shared" si="12"/>
        <v>-0.38206867548982293</v>
      </c>
      <c r="AO53" s="1">
        <v>41000</v>
      </c>
      <c r="AP53">
        <f>'Maize Price IPA-STEP 1'!D78</f>
        <v>16.506740175809245</v>
      </c>
      <c r="AQ53" t="str">
        <f t="shared" si="8"/>
        <v/>
      </c>
      <c r="AR53" t="str">
        <f t="shared" si="2"/>
        <v/>
      </c>
      <c r="AS53" t="str">
        <f t="shared" si="3"/>
        <v/>
      </c>
      <c r="AT53">
        <f t="shared" si="4"/>
        <v>-1.9449782118720575</v>
      </c>
      <c r="AU53" t="str">
        <f t="shared" si="5"/>
        <v/>
      </c>
      <c r="AV53" s="8">
        <f t="shared" si="34"/>
        <v>-1.9449782118720575</v>
      </c>
    </row>
    <row r="54" spans="1:48">
      <c r="A54">
        <v>10</v>
      </c>
      <c r="D54">
        <f t="shared" ref="D54:K54" si="41">(D40-D12)/D26</f>
        <v>0.12496228913819601</v>
      </c>
      <c r="E54">
        <f t="shared" si="41"/>
        <v>-0.46693376537842662</v>
      </c>
      <c r="F54">
        <f t="shared" si="41"/>
        <v>2.9947695913026426</v>
      </c>
      <c r="G54">
        <f t="shared" si="41"/>
        <v>-2.4671650515409191</v>
      </c>
      <c r="H54">
        <f t="shared" si="41"/>
        <v>-0.14147804394498559</v>
      </c>
      <c r="I54">
        <f t="shared" si="41"/>
        <v>0.29025356188449203</v>
      </c>
      <c r="J54" s="10">
        <f t="shared" si="41"/>
        <v>0.84692308493537871</v>
      </c>
      <c r="K54" s="10">
        <f t="shared" si="41"/>
        <v>-0.3915368004581492</v>
      </c>
      <c r="L54" s="10">
        <f t="shared" si="26"/>
        <v>0.2799573247470114</v>
      </c>
      <c r="Q54">
        <v>10</v>
      </c>
      <c r="T54">
        <f t="shared" ref="T54:AA54" si="42">(T40-T12)/T26</f>
        <v>-1.353114383960498</v>
      </c>
      <c r="U54">
        <f t="shared" si="42"/>
        <v>1.004854785772314</v>
      </c>
      <c r="V54">
        <f t="shared" si="42"/>
        <v>2.0036648280522495</v>
      </c>
      <c r="W54">
        <f t="shared" si="42"/>
        <v>-2.7827953680476476</v>
      </c>
      <c r="X54">
        <f t="shared" si="42"/>
        <v>2.8443220874602052E-2</v>
      </c>
      <c r="Y54">
        <f t="shared" si="42"/>
        <v>1.3613650975071456</v>
      </c>
      <c r="Z54">
        <f t="shared" si="42"/>
        <v>2.7834708228507931E-2</v>
      </c>
      <c r="AA54">
        <f t="shared" si="42"/>
        <v>-0.64861144881829202</v>
      </c>
      <c r="AC54" s="22">
        <v>10</v>
      </c>
      <c r="AD54" s="23">
        <f t="shared" si="15"/>
        <v>0</v>
      </c>
      <c r="AE54" s="23">
        <f t="shared" si="16"/>
        <v>4.9984915655278406E-2</v>
      </c>
      <c r="AF54" s="23">
        <f t="shared" si="17"/>
        <v>-0.99864213652766942</v>
      </c>
      <c r="AG54" s="23">
        <f t="shared" si="18"/>
        <v>1.8008207079844456</v>
      </c>
      <c r="AH54" s="23">
        <f t="shared" si="19"/>
        <v>0.21533287621498198</v>
      </c>
      <c r="AI54" s="23">
        <f t="shared" si="20"/>
        <v>-1.7262684384065827</v>
      </c>
      <c r="AJ54" s="23">
        <f t="shared" si="21"/>
        <v>0.13316735727855805</v>
      </c>
      <c r="AK54" s="23">
        <f t="shared" si="22"/>
        <v>1.1555882924784389</v>
      </c>
      <c r="AL54" s="23">
        <f t="shared" si="23"/>
        <v>-0.13991389524615494</v>
      </c>
      <c r="AM54" s="24">
        <f t="shared" si="12"/>
        <v>-0.27718393939217068</v>
      </c>
      <c r="AO54" s="1">
        <v>41030</v>
      </c>
      <c r="AP54">
        <f>'Maize Price IPA-STEP 1'!D79</f>
        <v>15.527742252526094</v>
      </c>
      <c r="AQ54" t="str">
        <f t="shared" si="8"/>
        <v/>
      </c>
      <c r="AR54" t="str">
        <f t="shared" si="2"/>
        <v/>
      </c>
      <c r="AS54" t="str">
        <f t="shared" si="3"/>
        <v/>
      </c>
      <c r="AT54">
        <f t="shared" si="4"/>
        <v>-1.8225222369735015</v>
      </c>
      <c r="AU54" t="str">
        <f t="shared" si="5"/>
        <v/>
      </c>
      <c r="AV54" s="8">
        <f t="shared" si="34"/>
        <v>-1.8225222369735015</v>
      </c>
    </row>
    <row r="55" spans="1:48">
      <c r="A55">
        <v>11</v>
      </c>
      <c r="D55">
        <f t="shared" ref="D55:K55" si="43">(D41-D13)/D27</f>
        <v>0.19169352670983511</v>
      </c>
      <c r="E55">
        <f t="shared" si="43"/>
        <v>0.59347219212000635</v>
      </c>
      <c r="F55">
        <f t="shared" si="43"/>
        <v>1.5399717946153149</v>
      </c>
      <c r="G55">
        <f t="shared" si="43"/>
        <v>-3.2204473800633937</v>
      </c>
      <c r="H55">
        <f t="shared" si="43"/>
        <v>5.0622597396071604E-2</v>
      </c>
      <c r="I55">
        <f t="shared" si="43"/>
        <v>0.57589890440006397</v>
      </c>
      <c r="J55" s="10">
        <f t="shared" si="43"/>
        <v>0.21753948128689668</v>
      </c>
      <c r="K55" s="10">
        <f t="shared" si="43"/>
        <v>0.57851304727967878</v>
      </c>
      <c r="L55" s="10">
        <f t="shared" si="26"/>
        <v>-0.12067043819760608</v>
      </c>
      <c r="Q55">
        <v>11</v>
      </c>
      <c r="T55">
        <f t="shared" ref="T55:AA55" si="44">(T41-T13)/T27</f>
        <v>4.1557758275504959</v>
      </c>
      <c r="U55">
        <f t="shared" si="44"/>
        <v>3.093416181666127</v>
      </c>
      <c r="V55">
        <f t="shared" si="44"/>
        <v>1.5679670041624847</v>
      </c>
      <c r="W55">
        <f t="shared" si="44"/>
        <v>0.93999324893058844</v>
      </c>
      <c r="X55">
        <f t="shared" si="44"/>
        <v>1.3727482073331736</v>
      </c>
      <c r="Y55">
        <f t="shared" si="44"/>
        <v>1.8110283097232309</v>
      </c>
      <c r="Z55">
        <f t="shared" si="44"/>
        <v>0.87594409410454821</v>
      </c>
      <c r="AA55">
        <f t="shared" si="44"/>
        <v>0.33181449844156252</v>
      </c>
      <c r="AC55" s="22">
        <v>11</v>
      </c>
      <c r="AD55" s="23">
        <f t="shared" si="15"/>
        <v>0</v>
      </c>
      <c r="AE55" s="23">
        <f t="shared" si="16"/>
        <v>7.667741068393405E-2</v>
      </c>
      <c r="AF55" s="23">
        <f t="shared" si="17"/>
        <v>2.7308543733782997</v>
      </c>
      <c r="AG55" s="23">
        <f t="shared" si="18"/>
        <v>2.4720384268458022</v>
      </c>
      <c r="AH55" s="23">
        <f t="shared" si="19"/>
        <v>-0.34739874952786676</v>
      </c>
      <c r="AI55" s="23">
        <f t="shared" si="20"/>
        <v>0.58424498831678173</v>
      </c>
      <c r="AJ55" s="23">
        <f t="shared" si="21"/>
        <v>1.0540084861599297</v>
      </c>
      <c r="AK55" s="23">
        <f>(0.4*J55+0.6*Y55)</f>
        <v>1.1736327783486973</v>
      </c>
      <c r="AL55" s="23">
        <f t="shared" ref="AL55:AL56" si="45">(0.4*K55+0.6*Z55)</f>
        <v>0.75697167537460042</v>
      </c>
      <c r="AM55" s="24">
        <f t="shared" si="12"/>
        <v>0.15082052378589508</v>
      </c>
      <c r="AO55" s="1">
        <v>41061</v>
      </c>
      <c r="AP55">
        <f>'Maize Price IPA-STEP 1'!D80</f>
        <v>15.809296522759558</v>
      </c>
      <c r="AQ55" t="str">
        <f t="shared" si="8"/>
        <v/>
      </c>
      <c r="AR55" t="str">
        <f t="shared" si="2"/>
        <v/>
      </c>
      <c r="AS55" t="str">
        <f t="shared" si="3"/>
        <v/>
      </c>
      <c r="AT55">
        <f t="shared" si="4"/>
        <v>-1.6560147384360442</v>
      </c>
      <c r="AU55" t="str">
        <f t="shared" si="5"/>
        <v/>
      </c>
      <c r="AV55" s="8">
        <f t="shared" si="34"/>
        <v>-1.6560147384360442</v>
      </c>
    </row>
    <row r="56" spans="1:48">
      <c r="A56">
        <v>12</v>
      </c>
      <c r="D56">
        <f t="shared" ref="D56:K56" si="46">(D42-D14)/D28</f>
        <v>0.78223957720264226</v>
      </c>
      <c r="E56">
        <f t="shared" si="46"/>
        <v>0.72285246339353149</v>
      </c>
      <c r="F56">
        <f t="shared" si="46"/>
        <v>0.26352552521739059</v>
      </c>
      <c r="G56">
        <f t="shared" si="46"/>
        <v>-2.7449455802216201</v>
      </c>
      <c r="H56">
        <f t="shared" si="46"/>
        <v>0.6235172249872809</v>
      </c>
      <c r="I56">
        <f t="shared" si="46"/>
        <v>-0.2867955740974783</v>
      </c>
      <c r="J56" s="10">
        <f t="shared" si="46"/>
        <v>1.7763610335537925</v>
      </c>
      <c r="K56" s="10">
        <f t="shared" si="46"/>
        <v>0.48470994999099587</v>
      </c>
      <c r="L56" s="10">
        <f t="shared" si="26"/>
        <v>-1.6283277997357135</v>
      </c>
      <c r="Q56">
        <v>12</v>
      </c>
      <c r="T56">
        <f t="shared" ref="T56:AA56" si="47">(T42-T14)/T28</f>
        <v>-3.2044655616708506</v>
      </c>
      <c r="U56">
        <f t="shared" si="47"/>
        <v>1.478564155303387</v>
      </c>
      <c r="V56">
        <f t="shared" si="47"/>
        <v>0.56328068470208614</v>
      </c>
      <c r="W56">
        <f t="shared" si="47"/>
        <v>-2.435891512116251</v>
      </c>
      <c r="X56">
        <f t="shared" si="47"/>
        <v>-0.50898832201572974</v>
      </c>
      <c r="Y56">
        <f t="shared" si="47"/>
        <v>2.44416264738723</v>
      </c>
      <c r="Z56">
        <f t="shared" si="47"/>
        <v>-1.6863484523012673E-2</v>
      </c>
      <c r="AA56">
        <f t="shared" si="47"/>
        <v>-1.376597703193607</v>
      </c>
      <c r="AC56" s="22">
        <v>12</v>
      </c>
      <c r="AD56" s="23">
        <f t="shared" si="15"/>
        <v>0</v>
      </c>
      <c r="AE56" s="23">
        <f t="shared" si="16"/>
        <v>0.31289583088105694</v>
      </c>
      <c r="AF56" s="23">
        <f t="shared" si="17"/>
        <v>-1.6335383516450976</v>
      </c>
      <c r="AG56" s="23">
        <f t="shared" si="18"/>
        <v>0.99254870326898847</v>
      </c>
      <c r="AH56" s="23">
        <f t="shared" si="19"/>
        <v>-0.76000982126739625</v>
      </c>
      <c r="AI56" s="23">
        <f t="shared" si="20"/>
        <v>-1.2121280172748381</v>
      </c>
      <c r="AJ56" s="23">
        <f t="shared" si="21"/>
        <v>-0.42011122284842917</v>
      </c>
      <c r="AK56" s="23">
        <f>(0.4*J56+0.6*Y56)</f>
        <v>2.177042001853855</v>
      </c>
      <c r="AL56" s="23">
        <f t="shared" si="45"/>
        <v>0.18376588928259077</v>
      </c>
      <c r="AM56" s="24">
        <f t="shared" si="12"/>
        <v>-1.4772897418104498</v>
      </c>
      <c r="AO56" s="1">
        <v>41091</v>
      </c>
      <c r="AP56">
        <f>'Maize Price IPA-STEP 1'!D81</f>
        <v>15.876566614007245</v>
      </c>
      <c r="AQ56" t="str">
        <f t="shared" si="8"/>
        <v/>
      </c>
      <c r="AR56" t="str">
        <f t="shared" si="2"/>
        <v/>
      </c>
      <c r="AS56" t="str">
        <f t="shared" si="3"/>
        <v/>
      </c>
      <c r="AT56">
        <f t="shared" si="4"/>
        <v>-1.7339504444602316</v>
      </c>
      <c r="AU56" t="str">
        <f t="shared" si="5"/>
        <v/>
      </c>
      <c r="AV56" s="8">
        <f t="shared" si="34"/>
        <v>-1.7339504444602316</v>
      </c>
    </row>
    <row r="57" spans="1:48">
      <c r="AO57" s="1">
        <v>41122</v>
      </c>
      <c r="AP57">
        <f>'Maize Price IPA-STEP 1'!D82</f>
        <v>16.580364508927214</v>
      </c>
      <c r="AQ57" t="str">
        <f t="shared" si="8"/>
        <v/>
      </c>
      <c r="AR57" t="str">
        <f t="shared" si="2"/>
        <v/>
      </c>
      <c r="AS57" t="str">
        <f t="shared" si="3"/>
        <v/>
      </c>
      <c r="AT57">
        <f t="shared" si="4"/>
        <v>-1.4464750515804325</v>
      </c>
      <c r="AU57" t="str">
        <f t="shared" si="5"/>
        <v/>
      </c>
      <c r="AV57" s="8">
        <f t="shared" si="34"/>
        <v>-1.4464750515804325</v>
      </c>
    </row>
    <row r="58" spans="1:48">
      <c r="AC58" s="21" t="s">
        <v>180</v>
      </c>
      <c r="AD58" s="7">
        <f t="shared" ref="AD58:AM58" si="48">AVERAGE(AD45:AD56)</f>
        <v>0</v>
      </c>
      <c r="AE58" s="7">
        <f t="shared" si="48"/>
        <v>-0.58972172868697503</v>
      </c>
      <c r="AF58" s="7">
        <f t="shared" si="48"/>
        <v>-2.3499949808414136</v>
      </c>
      <c r="AG58" s="7">
        <f t="shared" si="48"/>
        <v>0.36237713391255122</v>
      </c>
      <c r="AH58" s="7">
        <f t="shared" si="48"/>
        <v>2.4992155931044109</v>
      </c>
      <c r="AI58" s="7">
        <f t="shared" si="48"/>
        <v>-1.3524004519073269</v>
      </c>
      <c r="AJ58" s="7">
        <f t="shared" si="48"/>
        <v>-0.25237370356932259</v>
      </c>
      <c r="AK58" s="7">
        <f t="shared" si="48"/>
        <v>0.88496010987253726</v>
      </c>
      <c r="AL58" s="7">
        <f t="shared" si="48"/>
        <v>0.50752923444435105</v>
      </c>
      <c r="AM58" s="7">
        <f t="shared" si="48"/>
        <v>-0.46038125897090287</v>
      </c>
      <c r="AO58" s="1">
        <v>41153</v>
      </c>
      <c r="AP58">
        <f>'Maize Price IPA-STEP 1'!D83</f>
        <v>14.990280857354007</v>
      </c>
      <c r="AQ58" t="str">
        <f t="shared" si="8"/>
        <v/>
      </c>
      <c r="AR58" t="str">
        <f t="shared" si="2"/>
        <v/>
      </c>
      <c r="AS58" t="str">
        <f t="shared" si="3"/>
        <v/>
      </c>
      <c r="AT58">
        <f t="shared" si="4"/>
        <v>-1.6572514970076406</v>
      </c>
      <c r="AU58" t="str">
        <f t="shared" si="5"/>
        <v/>
      </c>
      <c r="AV58" s="8">
        <f t="shared" si="34"/>
        <v>-1.6572514970076406</v>
      </c>
    </row>
    <row r="59" spans="1:48">
      <c r="AO59" s="1">
        <v>41183</v>
      </c>
      <c r="AP59">
        <f>'Maize Price IPA-STEP 1'!D84</f>
        <v>13.382058524877662</v>
      </c>
      <c r="AQ59" t="str">
        <f t="shared" si="8"/>
        <v/>
      </c>
      <c r="AR59" t="str">
        <f t="shared" si="2"/>
        <v/>
      </c>
      <c r="AS59" t="str">
        <f t="shared" si="3"/>
        <v/>
      </c>
      <c r="AT59">
        <f t="shared" si="4"/>
        <v>-1.7262684384065827</v>
      </c>
      <c r="AU59" t="str">
        <f t="shared" si="5"/>
        <v/>
      </c>
      <c r="AV59" s="8">
        <f t="shared" si="34"/>
        <v>-1.7262684384065827</v>
      </c>
    </row>
    <row r="60" spans="1:48">
      <c r="AO60" s="1">
        <v>41214</v>
      </c>
      <c r="AP60">
        <f>'Maize Price IPA-STEP 1'!D85</f>
        <v>13.325854440130632</v>
      </c>
      <c r="AQ60" t="str">
        <f t="shared" si="8"/>
        <v/>
      </c>
      <c r="AR60">
        <f t="shared" si="2"/>
        <v>0.58424498831678173</v>
      </c>
      <c r="AS60" t="str">
        <f t="shared" si="3"/>
        <v/>
      </c>
      <c r="AT60" t="str">
        <f t="shared" si="4"/>
        <v/>
      </c>
      <c r="AU60" t="str">
        <f t="shared" si="5"/>
        <v/>
      </c>
      <c r="AV60" s="8">
        <f t="shared" si="34"/>
        <v>0.58424498831678173</v>
      </c>
    </row>
    <row r="61" spans="1:48">
      <c r="AO61" s="1">
        <v>41244</v>
      </c>
      <c r="AP61">
        <f>'Maize Price IPA-STEP 1'!D86</f>
        <v>13.388111840685498</v>
      </c>
      <c r="AQ61" t="str">
        <f t="shared" si="8"/>
        <v/>
      </c>
      <c r="AR61" t="str">
        <f t="shared" si="2"/>
        <v/>
      </c>
      <c r="AS61" t="str">
        <f t="shared" si="3"/>
        <v/>
      </c>
      <c r="AT61">
        <f t="shared" si="4"/>
        <v>-1.2121280172748381</v>
      </c>
      <c r="AU61" t="str">
        <f t="shared" si="5"/>
        <v/>
      </c>
      <c r="AV61" s="8">
        <f t="shared" si="34"/>
        <v>-1.2121280172748381</v>
      </c>
    </row>
    <row r="62" spans="1:48">
      <c r="AO62" s="1">
        <v>41275</v>
      </c>
      <c r="AP62">
        <f>'Maize Price IPA-STEP 1'!D87</f>
        <v>12.540079196979386</v>
      </c>
      <c r="AQ62" t="str">
        <f t="shared" si="8"/>
        <v/>
      </c>
      <c r="AR62" t="str">
        <f t="shared" si="2"/>
        <v/>
      </c>
      <c r="AS62" t="str">
        <f t="shared" si="3"/>
        <v/>
      </c>
      <c r="AT62" t="str">
        <f t="shared" si="4"/>
        <v/>
      </c>
      <c r="AU62">
        <f t="shared" si="5"/>
        <v>-0.99362846945399319</v>
      </c>
      <c r="AV62" s="8">
        <f t="shared" ref="AV62:AV73" si="49">AJ45</f>
        <v>-0.99362846945399319</v>
      </c>
    </row>
    <row r="63" spans="1:48">
      <c r="AO63" s="1">
        <v>41306</v>
      </c>
      <c r="AP63">
        <f>'Maize Price IPA-STEP 1'!D88</f>
        <v>12.375937643282832</v>
      </c>
      <c r="AQ63" t="str">
        <f t="shared" si="8"/>
        <v/>
      </c>
      <c r="AR63" t="str">
        <f t="shared" si="2"/>
        <v/>
      </c>
      <c r="AS63" t="str">
        <f t="shared" si="3"/>
        <v/>
      </c>
      <c r="AT63" t="str">
        <f t="shared" si="4"/>
        <v/>
      </c>
      <c r="AU63">
        <f t="shared" si="5"/>
        <v>-0.97146364952930564</v>
      </c>
      <c r="AV63" s="8">
        <f t="shared" si="49"/>
        <v>-0.97146364952930564</v>
      </c>
    </row>
    <row r="64" spans="1:48">
      <c r="AO64" s="1">
        <v>41334</v>
      </c>
      <c r="AP64">
        <f>'Maize Price IPA-STEP 1'!D89</f>
        <v>13.345533230293574</v>
      </c>
      <c r="AQ64" t="str">
        <f t="shared" si="8"/>
        <v/>
      </c>
      <c r="AR64" t="str">
        <f t="shared" si="2"/>
        <v/>
      </c>
      <c r="AS64" t="str">
        <f t="shared" si="3"/>
        <v/>
      </c>
      <c r="AT64" t="str">
        <f t="shared" si="4"/>
        <v/>
      </c>
      <c r="AU64">
        <f t="shared" si="5"/>
        <v>-0.85106321051038836</v>
      </c>
      <c r="AV64" s="8">
        <f t="shared" si="49"/>
        <v>-0.85106321051038836</v>
      </c>
    </row>
    <row r="65" spans="41:48">
      <c r="AO65" s="1">
        <v>41365</v>
      </c>
      <c r="AP65">
        <f>'Maize Price IPA-STEP 1'!D90</f>
        <v>13.53173970295512</v>
      </c>
      <c r="AQ65" t="str">
        <f t="shared" si="8"/>
        <v/>
      </c>
      <c r="AR65" t="str">
        <f t="shared" si="2"/>
        <v/>
      </c>
      <c r="AS65">
        <f t="shared" si="3"/>
        <v>-0.45230085900505757</v>
      </c>
      <c r="AT65" t="str">
        <f t="shared" si="4"/>
        <v/>
      </c>
      <c r="AU65" t="str">
        <f t="shared" si="5"/>
        <v/>
      </c>
      <c r="AV65" s="8">
        <f t="shared" si="49"/>
        <v>-0.45230085900505757</v>
      </c>
    </row>
    <row r="66" spans="41:48">
      <c r="AO66" s="1">
        <v>41395</v>
      </c>
      <c r="AP66">
        <f>'Maize Price IPA-STEP 1'!D91</f>
        <v>13.049401662219722</v>
      </c>
      <c r="AQ66" t="str">
        <f t="shared" ref="AQ66:AQ98" si="50">IF(AV66&gt;=1,AV66,"")</f>
        <v/>
      </c>
      <c r="AR66" t="str">
        <f t="shared" si="2"/>
        <v/>
      </c>
      <c r="AS66">
        <f t="shared" si="3"/>
        <v>-0.28900909558761334</v>
      </c>
      <c r="AT66" t="str">
        <f t="shared" si="4"/>
        <v/>
      </c>
      <c r="AU66" t="str">
        <f t="shared" si="5"/>
        <v/>
      </c>
      <c r="AV66" s="8">
        <f t="shared" si="49"/>
        <v>-0.28900909558761334</v>
      </c>
    </row>
    <row r="67" spans="41:48">
      <c r="AO67" s="1">
        <v>41426</v>
      </c>
      <c r="AP67">
        <f>'Maize Price IPA-STEP 1'!D92</f>
        <v>14.146197777981801</v>
      </c>
      <c r="AQ67" t="str">
        <f t="shared" si="50"/>
        <v/>
      </c>
      <c r="AR67" t="str">
        <f t="shared" ref="AR67:AR98" si="51">IF(AND(AV67&gt;=0.5,AV67&lt;1),AV67,"")</f>
        <v/>
      </c>
      <c r="AS67">
        <f t="shared" ref="AS67:AS98" si="52">IF(AND(AV67&lt;=0.5,AV67&gt;=-0.5),AV67,"")</f>
        <v>-0.12962587110986701</v>
      </c>
      <c r="AT67" t="str">
        <f t="shared" ref="AT67:AT98" si="53">IF(AV67&lt;=-1,AV67,"")</f>
        <v/>
      </c>
      <c r="AU67" t="str">
        <f t="shared" ref="AU67:AU98" si="54">IF(AND(AV67&gt;-1,AV67&lt;-0.5),AV67,"")</f>
        <v/>
      </c>
      <c r="AV67" s="8">
        <f t="shared" si="49"/>
        <v>-0.12962587110986701</v>
      </c>
    </row>
    <row r="68" spans="41:48">
      <c r="AO68" s="1">
        <v>41456</v>
      </c>
      <c r="AP68">
        <f>'Maize Price IPA-STEP 1'!D93</f>
        <v>14.395437886866398</v>
      </c>
      <c r="AQ68" t="str">
        <f t="shared" si="50"/>
        <v/>
      </c>
      <c r="AR68" t="str">
        <f t="shared" si="51"/>
        <v/>
      </c>
      <c r="AS68">
        <f t="shared" si="52"/>
        <v>-0.10706111865947948</v>
      </c>
      <c r="AT68" t="str">
        <f t="shared" si="53"/>
        <v/>
      </c>
      <c r="AU68" t="str">
        <f t="shared" si="54"/>
        <v/>
      </c>
      <c r="AV68" s="8">
        <f t="shared" si="49"/>
        <v>-0.10706111865947948</v>
      </c>
    </row>
    <row r="69" spans="41:48">
      <c r="AO69" s="1">
        <v>41487</v>
      </c>
      <c r="AP69">
        <f>'Maize Price IPA-STEP 1'!D94</f>
        <v>14.327823397936315</v>
      </c>
      <c r="AQ69" t="str">
        <f t="shared" si="50"/>
        <v/>
      </c>
      <c r="AR69" t="str">
        <f t="shared" si="51"/>
        <v/>
      </c>
      <c r="AS69">
        <f t="shared" si="52"/>
        <v>-0.11236205278799064</v>
      </c>
      <c r="AT69" t="str">
        <f t="shared" si="53"/>
        <v/>
      </c>
      <c r="AU69" t="str">
        <f t="shared" si="54"/>
        <v/>
      </c>
      <c r="AV69" s="8">
        <f t="shared" si="49"/>
        <v>-0.11236205278799064</v>
      </c>
    </row>
    <row r="70" spans="41:48">
      <c r="AO70" s="1">
        <v>41518</v>
      </c>
      <c r="AP70">
        <f>'Maize Price IPA-STEP 1'!D95</f>
        <v>14.377018155143926</v>
      </c>
      <c r="AQ70" t="str">
        <f t="shared" si="50"/>
        <v/>
      </c>
      <c r="AR70" t="str">
        <f t="shared" si="51"/>
        <v/>
      </c>
      <c r="AS70">
        <f t="shared" si="52"/>
        <v>0.11096526322176492</v>
      </c>
      <c r="AT70" t="str">
        <f t="shared" si="53"/>
        <v/>
      </c>
      <c r="AU70" t="str">
        <f t="shared" si="54"/>
        <v/>
      </c>
      <c r="AV70" s="8">
        <f t="shared" si="49"/>
        <v>0.11096526322176492</v>
      </c>
    </row>
    <row r="71" spans="41:48">
      <c r="AO71" s="1">
        <v>41548</v>
      </c>
      <c r="AP71">
        <f>'Maize Price IPA-STEP 1'!D96</f>
        <v>12.818831451045188</v>
      </c>
      <c r="AQ71" t="str">
        <f t="shared" si="50"/>
        <v/>
      </c>
      <c r="AR71" t="str">
        <f t="shared" si="51"/>
        <v/>
      </c>
      <c r="AS71">
        <f t="shared" si="52"/>
        <v>0.13316735727855805</v>
      </c>
      <c r="AT71" t="str">
        <f t="shared" si="53"/>
        <v/>
      </c>
      <c r="AU71" t="str">
        <f t="shared" si="54"/>
        <v/>
      </c>
      <c r="AV71" s="8">
        <f t="shared" si="49"/>
        <v>0.13316735727855805</v>
      </c>
    </row>
    <row r="72" spans="41:48">
      <c r="AO72" s="1">
        <v>41579</v>
      </c>
      <c r="AP72">
        <f>'Maize Price IPA-STEP 1'!D97</f>
        <v>12.789697859327191</v>
      </c>
      <c r="AQ72">
        <f t="shared" si="50"/>
        <v>1.0540084861599297</v>
      </c>
      <c r="AR72" t="str">
        <f t="shared" si="51"/>
        <v/>
      </c>
      <c r="AS72" t="str">
        <f t="shared" si="52"/>
        <v/>
      </c>
      <c r="AT72" t="str">
        <f t="shared" si="53"/>
        <v/>
      </c>
      <c r="AU72" t="str">
        <f t="shared" si="54"/>
        <v/>
      </c>
      <c r="AV72" s="8">
        <f t="shared" si="49"/>
        <v>1.0540084861599297</v>
      </c>
    </row>
    <row r="73" spans="41:48">
      <c r="AO73" s="1">
        <v>41609</v>
      </c>
      <c r="AP73">
        <f>'Maize Price IPA-STEP 1'!D98</f>
        <v>11.910794641218587</v>
      </c>
      <c r="AQ73" t="str">
        <f t="shared" si="50"/>
        <v/>
      </c>
      <c r="AR73" t="str">
        <f t="shared" si="51"/>
        <v/>
      </c>
      <c r="AS73">
        <f t="shared" si="52"/>
        <v>-0.42011122284842917</v>
      </c>
      <c r="AT73" t="str">
        <f t="shared" si="53"/>
        <v/>
      </c>
      <c r="AU73" t="str">
        <f t="shared" si="54"/>
        <v/>
      </c>
      <c r="AV73" s="8">
        <f t="shared" si="49"/>
        <v>-0.42011122284842917</v>
      </c>
    </row>
    <row r="74" spans="41:48">
      <c r="AO74" s="1">
        <v>41640</v>
      </c>
      <c r="AP74">
        <f>'Maize Price IPA-STEP 1'!D99</f>
        <v>11.382346817642174</v>
      </c>
      <c r="AQ74" t="str">
        <f t="shared" si="50"/>
        <v/>
      </c>
      <c r="AR74" t="str">
        <f t="shared" si="51"/>
        <v/>
      </c>
      <c r="AS74">
        <f t="shared" si="52"/>
        <v>-0.31569479554604551</v>
      </c>
      <c r="AT74" t="str">
        <f t="shared" si="53"/>
        <v/>
      </c>
      <c r="AU74" t="str">
        <f t="shared" si="54"/>
        <v/>
      </c>
      <c r="AV74" s="8">
        <f t="shared" ref="AV74:AV85" si="55">AK45</f>
        <v>-0.31569479554604551</v>
      </c>
    </row>
    <row r="75" spans="41:48">
      <c r="AO75" s="1">
        <v>41671</v>
      </c>
      <c r="AP75">
        <f>'Maize Price IPA-STEP 1'!D100</f>
        <v>11.894959290314675</v>
      </c>
      <c r="AQ75" t="str">
        <f t="shared" si="50"/>
        <v/>
      </c>
      <c r="AR75" t="str">
        <f t="shared" si="51"/>
        <v/>
      </c>
      <c r="AS75">
        <f t="shared" si="52"/>
        <v>-0.22092101322036214</v>
      </c>
      <c r="AT75" t="str">
        <f t="shared" si="53"/>
        <v/>
      </c>
      <c r="AU75" t="str">
        <f t="shared" si="54"/>
        <v/>
      </c>
      <c r="AV75" s="8">
        <f t="shared" si="55"/>
        <v>-0.22092101322036214</v>
      </c>
    </row>
    <row r="76" spans="41:48">
      <c r="AO76" s="1">
        <v>41699</v>
      </c>
      <c r="AP76">
        <f>'Maize Price IPA-STEP 1'!D101</f>
        <v>12.885976300875752</v>
      </c>
      <c r="AQ76" t="str">
        <f t="shared" si="50"/>
        <v/>
      </c>
      <c r="AR76" t="str">
        <f t="shared" si="51"/>
        <v/>
      </c>
      <c r="AS76">
        <f t="shared" si="52"/>
        <v>-7.1841618770486955E-3</v>
      </c>
      <c r="AT76" t="str">
        <f t="shared" si="53"/>
        <v/>
      </c>
      <c r="AU76" t="str">
        <f t="shared" si="54"/>
        <v/>
      </c>
      <c r="AV76" s="8">
        <f t="shared" si="55"/>
        <v>-7.1841618770486955E-3</v>
      </c>
    </row>
    <row r="77" spans="41:48">
      <c r="AO77" s="1">
        <v>41730</v>
      </c>
      <c r="AP77">
        <f>'Maize Price IPA-STEP 1'!D102</f>
        <v>13.085708717761239</v>
      </c>
      <c r="AQ77" t="str">
        <f t="shared" si="50"/>
        <v/>
      </c>
      <c r="AR77" t="str">
        <f t="shared" si="51"/>
        <v/>
      </c>
      <c r="AS77">
        <f t="shared" si="52"/>
        <v>0.2057842089557492</v>
      </c>
      <c r="AT77" t="str">
        <f t="shared" si="53"/>
        <v/>
      </c>
      <c r="AU77" t="str">
        <f t="shared" si="54"/>
        <v/>
      </c>
      <c r="AV77" s="8">
        <f t="shared" si="55"/>
        <v>0.2057842089557492</v>
      </c>
    </row>
    <row r="78" spans="41:48">
      <c r="AO78" s="1">
        <v>41760</v>
      </c>
      <c r="AP78">
        <f>'Maize Price IPA-STEP 1'!D103</f>
        <v>13.15724389354714</v>
      </c>
      <c r="AQ78" t="str">
        <f t="shared" si="50"/>
        <v/>
      </c>
      <c r="AR78" t="str">
        <f t="shared" si="51"/>
        <v/>
      </c>
      <c r="AS78">
        <f t="shared" si="52"/>
        <v>0.25504476308226937</v>
      </c>
      <c r="AT78" t="str">
        <f t="shared" si="53"/>
        <v/>
      </c>
      <c r="AU78" t="str">
        <f t="shared" si="54"/>
        <v/>
      </c>
      <c r="AV78" s="8">
        <f t="shared" si="55"/>
        <v>0.25504476308226937</v>
      </c>
    </row>
    <row r="79" spans="41:48">
      <c r="AO79" s="1">
        <v>41791</v>
      </c>
      <c r="AP79">
        <f>'Maize Price IPA-STEP 1'!D104</f>
        <v>15.345261310334326</v>
      </c>
      <c r="AQ79" t="str">
        <f t="shared" si="50"/>
        <v/>
      </c>
      <c r="AR79" t="str">
        <f t="shared" si="51"/>
        <v/>
      </c>
      <c r="AS79">
        <f t="shared" si="52"/>
        <v>0.48486433334164247</v>
      </c>
      <c r="AT79" t="str">
        <f t="shared" si="53"/>
        <v/>
      </c>
      <c r="AU79" t="str">
        <f t="shared" si="54"/>
        <v/>
      </c>
      <c r="AV79" s="8">
        <f t="shared" si="55"/>
        <v>0.48486433334164247</v>
      </c>
    </row>
    <row r="80" spans="41:48">
      <c r="AO80" s="1">
        <v>41821</v>
      </c>
      <c r="AP80">
        <f>'Maize Price IPA-STEP 1'!D105</f>
        <v>17.979043664048607</v>
      </c>
      <c r="AQ80">
        <f t="shared" si="50"/>
        <v>1.4897929032750064</v>
      </c>
      <c r="AR80" t="str">
        <f t="shared" si="51"/>
        <v/>
      </c>
      <c r="AS80" t="str">
        <f t="shared" si="52"/>
        <v/>
      </c>
      <c r="AT80" t="str">
        <f t="shared" si="53"/>
        <v/>
      </c>
      <c r="AU80" t="str">
        <f t="shared" si="54"/>
        <v/>
      </c>
      <c r="AV80" s="8">
        <f t="shared" si="55"/>
        <v>1.4897929032750064</v>
      </c>
    </row>
    <row r="81" spans="41:48">
      <c r="AO81" s="1">
        <v>41852</v>
      </c>
      <c r="AP81">
        <f>'Maize Price IPA-STEP 1'!D106</f>
        <v>19.756171950047985</v>
      </c>
      <c r="AQ81">
        <f t="shared" si="50"/>
        <v>3.3605765952135105</v>
      </c>
      <c r="AR81" t="str">
        <f t="shared" si="51"/>
        <v/>
      </c>
      <c r="AS81" t="str">
        <f t="shared" si="52"/>
        <v/>
      </c>
      <c r="AT81" t="str">
        <f t="shared" si="53"/>
        <v/>
      </c>
      <c r="AU81" t="str">
        <f t="shared" si="54"/>
        <v/>
      </c>
      <c r="AV81" s="8">
        <f t="shared" si="55"/>
        <v>3.3605765952135105</v>
      </c>
    </row>
    <row r="82" spans="41:48">
      <c r="AO82" s="1">
        <v>41883</v>
      </c>
      <c r="AP82">
        <f>'Maize Price IPA-STEP 1'!D107</f>
        <v>17.008399603281855</v>
      </c>
      <c r="AQ82" t="str">
        <f t="shared" si="50"/>
        <v/>
      </c>
      <c r="AR82">
        <f t="shared" si="51"/>
        <v>0.860995412564733</v>
      </c>
      <c r="AS82" t="str">
        <f t="shared" si="52"/>
        <v/>
      </c>
      <c r="AT82" t="str">
        <f t="shared" si="53"/>
        <v/>
      </c>
      <c r="AU82" t="str">
        <f t="shared" si="54"/>
        <v/>
      </c>
      <c r="AV82" s="8">
        <f t="shared" si="55"/>
        <v>0.860995412564733</v>
      </c>
    </row>
    <row r="83" spans="41:48">
      <c r="AO83" s="1">
        <v>41913</v>
      </c>
      <c r="AP83">
        <f>'Maize Price IPA-STEP 1'!D108</f>
        <v>16.927849074741665</v>
      </c>
      <c r="AQ83">
        <f t="shared" si="50"/>
        <v>1.1555882924784389</v>
      </c>
      <c r="AR83" t="str">
        <f t="shared" si="51"/>
        <v/>
      </c>
      <c r="AS83" t="str">
        <f t="shared" si="52"/>
        <v/>
      </c>
      <c r="AT83" t="str">
        <f t="shared" si="53"/>
        <v/>
      </c>
      <c r="AU83" t="str">
        <f t="shared" si="54"/>
        <v/>
      </c>
      <c r="AV83" s="8">
        <f t="shared" si="55"/>
        <v>1.1555882924784389</v>
      </c>
    </row>
    <row r="84" spans="41:48">
      <c r="AO84" s="1">
        <v>41944</v>
      </c>
      <c r="AP84">
        <f>'Maize Price IPA-STEP 1'!D109</f>
        <v>16.711533816425082</v>
      </c>
      <c r="AQ84">
        <f t="shared" si="50"/>
        <v>1.1736327783486973</v>
      </c>
      <c r="AR84" t="str">
        <f t="shared" si="51"/>
        <v/>
      </c>
      <c r="AS84" t="str">
        <f t="shared" si="52"/>
        <v/>
      </c>
      <c r="AT84" t="str">
        <f t="shared" si="53"/>
        <v/>
      </c>
      <c r="AU84" t="str">
        <f t="shared" si="54"/>
        <v/>
      </c>
      <c r="AV84" s="8">
        <f t="shared" si="55"/>
        <v>1.1736327783486973</v>
      </c>
    </row>
    <row r="85" spans="41:48">
      <c r="AO85" s="1">
        <v>41974</v>
      </c>
      <c r="AP85">
        <f>'Maize Price IPA-STEP 1'!D110</f>
        <v>16.322649619482373</v>
      </c>
      <c r="AQ85">
        <f t="shared" si="50"/>
        <v>2.177042001853855</v>
      </c>
      <c r="AR85" t="str">
        <f t="shared" si="51"/>
        <v/>
      </c>
      <c r="AS85" t="str">
        <f t="shared" si="52"/>
        <v/>
      </c>
      <c r="AT85" t="str">
        <f t="shared" si="53"/>
        <v/>
      </c>
      <c r="AU85" t="str">
        <f t="shared" si="54"/>
        <v/>
      </c>
      <c r="AV85" s="8">
        <f t="shared" si="55"/>
        <v>2.177042001853855</v>
      </c>
    </row>
    <row r="86" spans="41:48">
      <c r="AO86" s="1">
        <v>42005</v>
      </c>
      <c r="AP86">
        <f>'Maize Price IPA-STEP 1'!D111</f>
        <v>18.778860980770936</v>
      </c>
      <c r="AQ86">
        <f t="shared" si="50"/>
        <v>2.0214109934930682</v>
      </c>
      <c r="AR86" t="str">
        <f t="shared" si="51"/>
        <v/>
      </c>
      <c r="AS86" t="str">
        <f t="shared" si="52"/>
        <v/>
      </c>
      <c r="AT86" t="str">
        <f t="shared" si="53"/>
        <v/>
      </c>
      <c r="AU86" t="str">
        <f t="shared" si="54"/>
        <v/>
      </c>
      <c r="AV86" s="8">
        <f t="shared" ref="AV86:AV97" si="56">AL45</f>
        <v>2.0214109934930682</v>
      </c>
    </row>
    <row r="87" spans="41:48">
      <c r="AO87" s="1">
        <v>42036</v>
      </c>
      <c r="AP87">
        <f>'Maize Price IPA-STEP 1'!D112</f>
        <v>18.717538688282865</v>
      </c>
      <c r="AQ87">
        <f t="shared" si="50"/>
        <v>1.5086388288291253</v>
      </c>
      <c r="AR87" t="str">
        <f t="shared" si="51"/>
        <v/>
      </c>
      <c r="AS87" t="str">
        <f t="shared" si="52"/>
        <v/>
      </c>
      <c r="AT87" t="str">
        <f t="shared" si="53"/>
        <v/>
      </c>
      <c r="AU87" t="str">
        <f t="shared" si="54"/>
        <v/>
      </c>
      <c r="AV87" s="8">
        <f t="shared" si="56"/>
        <v>1.5086388288291253</v>
      </c>
    </row>
    <row r="88" spans="41:48">
      <c r="AO88" s="1">
        <v>42064</v>
      </c>
      <c r="AP88">
        <f>'Maize Price IPA-STEP 1'!D113</f>
        <v>18.995539260617182</v>
      </c>
      <c r="AQ88">
        <f t="shared" si="50"/>
        <v>1.2282173655227122</v>
      </c>
      <c r="AR88" t="str">
        <f t="shared" si="51"/>
        <v/>
      </c>
      <c r="AS88" t="str">
        <f t="shared" si="52"/>
        <v/>
      </c>
      <c r="AT88" t="str">
        <f t="shared" si="53"/>
        <v/>
      </c>
      <c r="AU88" t="str">
        <f t="shared" si="54"/>
        <v/>
      </c>
      <c r="AV88" s="8">
        <f t="shared" si="56"/>
        <v>1.2282173655227122</v>
      </c>
    </row>
    <row r="89" spans="41:48">
      <c r="AO89" s="1">
        <v>42095</v>
      </c>
      <c r="AP89">
        <f>'Maize Price IPA-STEP 1'!D114</f>
        <v>18.854819295512073</v>
      </c>
      <c r="AQ89" t="str">
        <f t="shared" si="50"/>
        <v/>
      </c>
      <c r="AR89" t="str">
        <f t="shared" si="51"/>
        <v/>
      </c>
      <c r="AS89">
        <f t="shared" si="52"/>
        <v>0.42078804769121586</v>
      </c>
      <c r="AT89" t="str">
        <f t="shared" si="53"/>
        <v/>
      </c>
      <c r="AU89" t="str">
        <f t="shared" si="54"/>
        <v/>
      </c>
      <c r="AV89" s="8">
        <f t="shared" si="56"/>
        <v>0.42078804769121586</v>
      </c>
    </row>
    <row r="90" spans="41:48">
      <c r="AO90" s="1">
        <v>42125</v>
      </c>
      <c r="AP90">
        <f>'Maize Price IPA-STEP 1'!D115</f>
        <v>18.4007805116009</v>
      </c>
      <c r="AQ90" t="str">
        <f t="shared" si="50"/>
        <v/>
      </c>
      <c r="AR90" t="str">
        <f t="shared" si="51"/>
        <v/>
      </c>
      <c r="AS90">
        <f t="shared" si="52"/>
        <v>0.2412724631726213</v>
      </c>
      <c r="AT90" t="str">
        <f t="shared" si="53"/>
        <v/>
      </c>
      <c r="AU90" t="str">
        <f t="shared" si="54"/>
        <v/>
      </c>
      <c r="AV90" s="8">
        <f t="shared" si="56"/>
        <v>0.2412724631726213</v>
      </c>
    </row>
    <row r="91" spans="41:48">
      <c r="AO91" s="1">
        <v>42156</v>
      </c>
      <c r="AP91">
        <f>'Maize Price IPA-STEP 1'!D116</f>
        <v>18.665804955449715</v>
      </c>
      <c r="AQ91" t="str">
        <f t="shared" si="50"/>
        <v/>
      </c>
      <c r="AR91" t="str">
        <f t="shared" si="51"/>
        <v/>
      </c>
      <c r="AS91">
        <f t="shared" si="52"/>
        <v>-8.398955364559535E-3</v>
      </c>
      <c r="AT91" t="str">
        <f t="shared" si="53"/>
        <v/>
      </c>
      <c r="AU91" t="str">
        <f t="shared" si="54"/>
        <v/>
      </c>
      <c r="AV91" s="8">
        <f t="shared" si="56"/>
        <v>-8.398955364559535E-3</v>
      </c>
    </row>
    <row r="92" spans="41:48">
      <c r="AO92" s="1">
        <v>42186</v>
      </c>
      <c r="AP92">
        <f>'Maize Price IPA-STEP 1'!D117</f>
        <v>20.642821546353979</v>
      </c>
      <c r="AQ92" t="str">
        <f t="shared" si="50"/>
        <v/>
      </c>
      <c r="AR92" t="str">
        <f t="shared" si="51"/>
        <v/>
      </c>
      <c r="AS92">
        <f t="shared" si="52"/>
        <v>0.11848452425492746</v>
      </c>
      <c r="AT92" t="str">
        <f t="shared" si="53"/>
        <v/>
      </c>
      <c r="AU92" t="str">
        <f t="shared" si="54"/>
        <v/>
      </c>
      <c r="AV92" s="8">
        <f t="shared" si="56"/>
        <v>0.11848452425492746</v>
      </c>
    </row>
    <row r="93" spans="41:48">
      <c r="AO93" s="1">
        <v>42217</v>
      </c>
      <c r="AP93">
        <f>'Maize Price IPA-STEP 1'!D118</f>
        <v>19.211635116093834</v>
      </c>
      <c r="AQ93" t="str">
        <f t="shared" si="50"/>
        <v/>
      </c>
      <c r="AR93" t="str">
        <f t="shared" si="51"/>
        <v/>
      </c>
      <c r="AS93">
        <f t="shared" si="52"/>
        <v>-0.42451055828759399</v>
      </c>
      <c r="AT93" t="str">
        <f t="shared" si="53"/>
        <v/>
      </c>
      <c r="AU93" t="str">
        <f t="shared" si="54"/>
        <v/>
      </c>
      <c r="AV93" s="8">
        <f t="shared" si="56"/>
        <v>-0.42451055828759399</v>
      </c>
    </row>
    <row r="94" spans="41:48">
      <c r="AO94" s="1">
        <v>42248</v>
      </c>
      <c r="AP94">
        <f>'Maize Price IPA-STEP 1'!D119</f>
        <v>18.584910371121875</v>
      </c>
      <c r="AQ94" t="str">
        <f t="shared" si="50"/>
        <v/>
      </c>
      <c r="AR94" t="str">
        <f t="shared" si="51"/>
        <v/>
      </c>
      <c r="AS94">
        <f t="shared" si="52"/>
        <v>0.18362443460965855</v>
      </c>
      <c r="AT94" t="str">
        <f t="shared" si="53"/>
        <v/>
      </c>
      <c r="AU94" t="str">
        <f t="shared" si="54"/>
        <v/>
      </c>
      <c r="AV94" s="8">
        <f t="shared" si="56"/>
        <v>0.18362443460965855</v>
      </c>
    </row>
    <row r="95" spans="41:48">
      <c r="AO95" s="1">
        <v>42278</v>
      </c>
      <c r="AP95">
        <f>'Maize Price IPA-STEP 1'!D120</f>
        <v>17.469541350668038</v>
      </c>
      <c r="AQ95" t="str">
        <f t="shared" si="50"/>
        <v/>
      </c>
      <c r="AR95" t="str">
        <f t="shared" si="51"/>
        <v/>
      </c>
      <c r="AS95">
        <f t="shared" si="52"/>
        <v>-0.13991389524615494</v>
      </c>
      <c r="AT95" t="str">
        <f t="shared" si="53"/>
        <v/>
      </c>
      <c r="AU95" t="str">
        <f t="shared" si="54"/>
        <v/>
      </c>
      <c r="AV95" s="8">
        <f t="shared" si="56"/>
        <v>-0.13991389524615494</v>
      </c>
    </row>
    <row r="96" spans="41:48">
      <c r="AO96" s="1">
        <v>42309</v>
      </c>
      <c r="AP96">
        <f>'Maize Price IPA-STEP 1'!D121</f>
        <v>17.160933538109315</v>
      </c>
      <c r="AQ96" t="str">
        <f t="shared" si="50"/>
        <v/>
      </c>
      <c r="AR96">
        <f t="shared" si="51"/>
        <v>0.75697167537460042</v>
      </c>
      <c r="AS96" t="str">
        <f t="shared" si="52"/>
        <v/>
      </c>
      <c r="AT96" t="str">
        <f t="shared" si="53"/>
        <v/>
      </c>
      <c r="AU96" t="str">
        <f t="shared" si="54"/>
        <v/>
      </c>
      <c r="AV96" s="8">
        <f t="shared" si="56"/>
        <v>0.75697167537460042</v>
      </c>
    </row>
    <row r="97" spans="41:48">
      <c r="AO97" s="1">
        <v>42339</v>
      </c>
      <c r="AP97">
        <f>'Maize Price IPA-STEP 1'!D122</f>
        <v>16.771202121568216</v>
      </c>
      <c r="AQ97" t="str">
        <f t="shared" si="50"/>
        <v/>
      </c>
      <c r="AR97" t="str">
        <f t="shared" si="51"/>
        <v/>
      </c>
      <c r="AS97">
        <f t="shared" si="52"/>
        <v>0.18376588928259077</v>
      </c>
      <c r="AT97" t="str">
        <f t="shared" si="53"/>
        <v/>
      </c>
      <c r="AU97" t="str">
        <f t="shared" si="54"/>
        <v/>
      </c>
      <c r="AV97" s="8">
        <f t="shared" si="56"/>
        <v>0.18376588928259077</v>
      </c>
    </row>
    <row r="98" spans="41:48">
      <c r="AO98" s="1">
        <v>42370</v>
      </c>
      <c r="AP98">
        <f>'Maize Price IPA-STEP 1'!D123</f>
        <v>17.173169482846838</v>
      </c>
      <c r="AQ98" t="str">
        <f t="shared" si="50"/>
        <v/>
      </c>
      <c r="AR98" t="str">
        <f t="shared" si="51"/>
        <v/>
      </c>
      <c r="AS98">
        <f t="shared" si="52"/>
        <v>-0.23895807252384155</v>
      </c>
      <c r="AT98" t="str">
        <f t="shared" si="53"/>
        <v/>
      </c>
      <c r="AU98" t="str">
        <f t="shared" si="54"/>
        <v/>
      </c>
      <c r="AV98" s="8">
        <f>AM45</f>
        <v>-0.23895807252384155</v>
      </c>
    </row>
    <row r="99" spans="41:48">
      <c r="AO99" s="1">
        <v>42401</v>
      </c>
      <c r="AP99">
        <f>'Maize Price IPA-STEP 1'!D124</f>
        <v>17.485473709643276</v>
      </c>
      <c r="AQ99" t="str">
        <f t="shared" ref="AQ99:AQ109" si="57">IF(AV99&gt;=1,AV99,"")</f>
        <v/>
      </c>
      <c r="AR99" t="str">
        <f t="shared" ref="AR99:AR109" si="58">IF(AND(AV99&gt;=0.5,AV99&lt;1),AV99,"")</f>
        <v/>
      </c>
      <c r="AS99">
        <f t="shared" ref="AS99:AS109" si="59">IF(AND(AV99&lt;=0.5,AV99&gt;=-0.5),AV99,"")</f>
        <v>-0.26138532714208018</v>
      </c>
      <c r="AT99" t="str">
        <f t="shared" ref="AT99:AT109" si="60">IF(AV99&lt;=-1,AV99,"")</f>
        <v/>
      </c>
      <c r="AU99" t="str">
        <f t="shared" ref="AU99:AU109" si="61">IF(AND(AV99&gt;-1,AV99&lt;-0.5),AV99,"")</f>
        <v/>
      </c>
      <c r="AV99" s="8">
        <f t="shared" ref="AV99:AV109" si="62">AM46</f>
        <v>-0.26138532714208018</v>
      </c>
    </row>
    <row r="100" spans="41:48">
      <c r="AO100" s="1">
        <v>42430</v>
      </c>
      <c r="AP100">
        <f>'Maize Price IPA-STEP 1'!D125</f>
        <v>18.225969027765053</v>
      </c>
      <c r="AQ100" t="str">
        <f t="shared" si="57"/>
        <v/>
      </c>
      <c r="AR100" t="str">
        <f t="shared" si="58"/>
        <v/>
      </c>
      <c r="AS100">
        <f t="shared" si="59"/>
        <v>-0.21382501422467651</v>
      </c>
      <c r="AT100" t="str">
        <f t="shared" si="60"/>
        <v/>
      </c>
      <c r="AU100" t="str">
        <f t="shared" si="61"/>
        <v/>
      </c>
      <c r="AV100" s="8">
        <f t="shared" si="62"/>
        <v>-0.21382501422467651</v>
      </c>
    </row>
    <row r="101" spans="41:48">
      <c r="AO101" s="1">
        <v>42461</v>
      </c>
      <c r="AP101">
        <f>'Maize Price IPA-STEP 1'!D126</f>
        <v>18.197685100128606</v>
      </c>
      <c r="AQ101" t="str">
        <f t="shared" si="57"/>
        <v/>
      </c>
      <c r="AR101" t="str">
        <f t="shared" si="58"/>
        <v/>
      </c>
      <c r="AS101">
        <f t="shared" si="59"/>
        <v>-0.27015284589668243</v>
      </c>
      <c r="AT101" t="str">
        <f t="shared" si="60"/>
        <v/>
      </c>
      <c r="AU101" t="str">
        <f t="shared" si="61"/>
        <v/>
      </c>
      <c r="AV101" s="8">
        <f t="shared" si="62"/>
        <v>-0.27015284589668243</v>
      </c>
    </row>
    <row r="102" spans="41:48">
      <c r="AO102" s="1">
        <v>42491</v>
      </c>
      <c r="AP102">
        <f>'Maize Price IPA-STEP 1'!D127</f>
        <v>17.69781531118047</v>
      </c>
      <c r="AQ102" t="str">
        <f t="shared" si="57"/>
        <v/>
      </c>
      <c r="AR102" t="str">
        <f t="shared" si="58"/>
        <v/>
      </c>
      <c r="AS102">
        <f t="shared" si="59"/>
        <v>-0.34341194097068456</v>
      </c>
      <c r="AT102" t="str">
        <f t="shared" si="60"/>
        <v/>
      </c>
      <c r="AU102" t="str">
        <f t="shared" si="61"/>
        <v/>
      </c>
      <c r="AV102" s="8">
        <f t="shared" si="62"/>
        <v>-0.34341194097068456</v>
      </c>
    </row>
    <row r="103" spans="41:48">
      <c r="AO103" s="1">
        <v>42522</v>
      </c>
      <c r="AP103">
        <f>'Maize Price IPA-STEP 1'!D128</f>
        <v>17.450710683172858</v>
      </c>
      <c r="AQ103" t="str">
        <f t="shared" si="57"/>
        <v/>
      </c>
      <c r="AR103" t="str">
        <f t="shared" si="58"/>
        <v/>
      </c>
      <c r="AS103">
        <f t="shared" si="59"/>
        <v>-0.49114155044256852</v>
      </c>
      <c r="AT103" t="str">
        <f t="shared" si="60"/>
        <v/>
      </c>
      <c r="AU103" t="str">
        <f t="shared" si="61"/>
        <v/>
      </c>
      <c r="AV103" s="8">
        <f t="shared" si="62"/>
        <v>-0.49114155044256852</v>
      </c>
    </row>
    <row r="104" spans="41:48">
      <c r="AO104" s="1">
        <v>42552</v>
      </c>
      <c r="AP104">
        <f>'Maize Price IPA-STEP 1'!D129</f>
        <v>16.955843202056364</v>
      </c>
      <c r="AQ104" t="str">
        <f t="shared" si="57"/>
        <v/>
      </c>
      <c r="AR104" t="str">
        <f t="shared" si="58"/>
        <v/>
      </c>
      <c r="AS104" t="str">
        <f t="shared" si="59"/>
        <v/>
      </c>
      <c r="AT104" t="str">
        <f t="shared" si="60"/>
        <v/>
      </c>
      <c r="AU104">
        <f t="shared" si="61"/>
        <v>-0.97081573785913156</v>
      </c>
      <c r="AV104" s="8">
        <f t="shared" si="62"/>
        <v>-0.97081573785913156</v>
      </c>
    </row>
    <row r="105" spans="41:48">
      <c r="AO105" s="1">
        <v>42583</v>
      </c>
      <c r="AP105">
        <f>'Maize Price IPA-STEP 1'!D130</f>
        <v>17.016381373090372</v>
      </c>
      <c r="AQ105" t="str">
        <f t="shared" si="57"/>
        <v/>
      </c>
      <c r="AR105" t="str">
        <f t="shared" si="58"/>
        <v/>
      </c>
      <c r="AS105" t="str">
        <f t="shared" si="59"/>
        <v/>
      </c>
      <c r="AT105" t="str">
        <f t="shared" si="60"/>
        <v/>
      </c>
      <c r="AU105">
        <f t="shared" si="61"/>
        <v>-0.74916278568462047</v>
      </c>
      <c r="AV105" s="8">
        <f t="shared" si="62"/>
        <v>-0.74916278568462047</v>
      </c>
    </row>
    <row r="106" spans="41:48">
      <c r="AO106" s="1">
        <v>42614</v>
      </c>
      <c r="AP106">
        <f>'Maize Price IPA-STEP 1'!D131</f>
        <v>16.92975168466722</v>
      </c>
      <c r="AQ106" t="str">
        <f t="shared" si="57"/>
        <v/>
      </c>
      <c r="AR106" t="str">
        <f t="shared" si="58"/>
        <v/>
      </c>
      <c r="AS106">
        <f t="shared" si="59"/>
        <v>-0.38206867548982293</v>
      </c>
      <c r="AT106" t="str">
        <f t="shared" si="60"/>
        <v/>
      </c>
      <c r="AU106" t="str">
        <f t="shared" si="61"/>
        <v/>
      </c>
      <c r="AV106" s="8">
        <f t="shared" si="62"/>
        <v>-0.38206867548982293</v>
      </c>
    </row>
    <row r="107" spans="41:48">
      <c r="AO107" s="1">
        <v>42644</v>
      </c>
      <c r="AP107">
        <f>'Maize Price IPA-STEP 1'!D132</f>
        <v>15.184162062615101</v>
      </c>
      <c r="AQ107" t="str">
        <f t="shared" si="57"/>
        <v/>
      </c>
      <c r="AR107" t="str">
        <f t="shared" si="58"/>
        <v/>
      </c>
      <c r="AS107">
        <f t="shared" si="59"/>
        <v>-0.27718393939217068</v>
      </c>
      <c r="AT107" t="str">
        <f t="shared" si="60"/>
        <v/>
      </c>
      <c r="AU107" t="str">
        <f t="shared" si="61"/>
        <v/>
      </c>
      <c r="AV107" s="8">
        <f t="shared" si="62"/>
        <v>-0.27718393939217068</v>
      </c>
    </row>
    <row r="108" spans="41:48">
      <c r="AO108" s="1">
        <v>42675</v>
      </c>
      <c r="AP108">
        <f>'Maize Price IPA-STEP 1'!D133</f>
        <v>13.988396721613407</v>
      </c>
      <c r="AQ108" t="str">
        <f t="shared" si="57"/>
        <v/>
      </c>
      <c r="AR108" t="str">
        <f t="shared" si="58"/>
        <v/>
      </c>
      <c r="AS108">
        <f t="shared" si="59"/>
        <v>0.15082052378589508</v>
      </c>
      <c r="AT108" t="str">
        <f t="shared" si="60"/>
        <v/>
      </c>
      <c r="AU108" t="str">
        <f t="shared" si="61"/>
        <v/>
      </c>
      <c r="AV108" s="8">
        <f t="shared" si="62"/>
        <v>0.15082052378589508</v>
      </c>
    </row>
    <row r="109" spans="41:48">
      <c r="AO109" s="1">
        <v>42705</v>
      </c>
      <c r="AP109">
        <f>'Maize Price IPA-STEP 1'!D134</f>
        <v>13.073161730786971</v>
      </c>
      <c r="AQ109" t="str">
        <f t="shared" si="57"/>
        <v/>
      </c>
      <c r="AR109" t="str">
        <f t="shared" si="58"/>
        <v/>
      </c>
      <c r="AS109" t="str">
        <f t="shared" si="59"/>
        <v/>
      </c>
      <c r="AT109">
        <f t="shared" si="60"/>
        <v>-1.4772897418104498</v>
      </c>
      <c r="AU109" t="str">
        <f t="shared" si="61"/>
        <v/>
      </c>
      <c r="AV109" s="8">
        <f t="shared" si="62"/>
        <v>-1.4772897418104498</v>
      </c>
    </row>
  </sheetData>
  <mergeCells count="9">
    <mergeCell ref="AC43:AM43"/>
    <mergeCell ref="B43:L43"/>
    <mergeCell ref="B29:L29"/>
    <mergeCell ref="B15:L15"/>
    <mergeCell ref="B1:L1"/>
    <mergeCell ref="R1:AA1"/>
    <mergeCell ref="R15:AA15"/>
    <mergeCell ref="R29:AA29"/>
    <mergeCell ref="R43:AA4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J209"/>
  <sheetViews>
    <sheetView workbookViewId="0">
      <selection activeCell="C195" sqref="C195:C209"/>
    </sheetView>
  </sheetViews>
  <sheetFormatPr defaultRowHeight="15"/>
  <sheetData>
    <row r="1" spans="1:192">
      <c r="A1">
        <v>83.143214720000003</v>
      </c>
      <c r="B1">
        <v>83.557692739999993</v>
      </c>
      <c r="C1">
        <v>83.627669549999993</v>
      </c>
      <c r="D1">
        <v>83.692263530000005</v>
      </c>
      <c r="E1">
        <v>84.198249680000004</v>
      </c>
      <c r="F1">
        <v>85.140245190000002</v>
      </c>
      <c r="G1">
        <v>85.032588559999994</v>
      </c>
      <c r="H1">
        <v>85.3986211</v>
      </c>
      <c r="I1">
        <v>85.554723210000006</v>
      </c>
      <c r="J1">
        <v>85.549340380000004</v>
      </c>
      <c r="K1">
        <v>85.737739480000002</v>
      </c>
      <c r="L1">
        <v>86.141451840000002</v>
      </c>
      <c r="M1">
        <v>87.697090130000007</v>
      </c>
      <c r="N1">
        <v>87.54098802</v>
      </c>
      <c r="O1">
        <v>87.718621459999994</v>
      </c>
      <c r="P1">
        <v>87.837043750000007</v>
      </c>
      <c r="Q1">
        <v>87.976997370000007</v>
      </c>
      <c r="R1">
        <v>88.095419660000005</v>
      </c>
      <c r="S1">
        <v>88.068505500000001</v>
      </c>
      <c r="T1">
        <v>88.364561230000007</v>
      </c>
      <c r="U1">
        <v>88.364561230000007</v>
      </c>
      <c r="V1">
        <v>87.551753680000004</v>
      </c>
      <c r="W1">
        <v>88.326881409999999</v>
      </c>
      <c r="X1">
        <v>87.368737409999994</v>
      </c>
      <c r="Y1">
        <v>88.445303699999997</v>
      </c>
      <c r="Z1">
        <v>88.725210939999997</v>
      </c>
      <c r="AA1">
        <v>89.231197100000003</v>
      </c>
      <c r="AB1">
        <v>89.559549820000001</v>
      </c>
      <c r="AC1">
        <v>89.543401320000001</v>
      </c>
      <c r="AD1">
        <v>90.124747119999995</v>
      </c>
      <c r="AE1">
        <v>90.280849230000001</v>
      </c>
      <c r="AF1">
        <v>89.941730849999999</v>
      </c>
      <c r="AG1">
        <v>89.624143790000005</v>
      </c>
      <c r="AH1">
        <v>89.742566089999997</v>
      </c>
      <c r="AI1">
        <v>89.564932650000003</v>
      </c>
      <c r="AJ1">
        <v>89.807160060000001</v>
      </c>
      <c r="AK1">
        <v>90.878343520000001</v>
      </c>
      <c r="AL1">
        <v>91.104422439999993</v>
      </c>
      <c r="AM1">
        <v>91.368181190000001</v>
      </c>
      <c r="AN1">
        <v>91.330501369999993</v>
      </c>
      <c r="AO1">
        <v>91.212079070000001</v>
      </c>
      <c r="AP1">
        <v>91.518900470000005</v>
      </c>
      <c r="AQ1">
        <v>91.179782090000003</v>
      </c>
      <c r="AR1">
        <v>91.475837819999995</v>
      </c>
      <c r="AS1">
        <v>91.535048959999997</v>
      </c>
      <c r="AT1">
        <v>91.82033903</v>
      </c>
      <c r="AU1">
        <v>91.884933009999997</v>
      </c>
      <c r="AV1">
        <v>92.067949279999993</v>
      </c>
      <c r="AW1">
        <v>93.090687250000002</v>
      </c>
      <c r="AX1">
        <v>93.499782440000004</v>
      </c>
      <c r="AY1">
        <v>94.097276739999998</v>
      </c>
      <c r="AZ1">
        <v>94.888552959999998</v>
      </c>
      <c r="BA1">
        <v>95.556024059999999</v>
      </c>
      <c r="BB1">
        <v>95.717509010000001</v>
      </c>
      <c r="BC1">
        <v>96.013564740000007</v>
      </c>
      <c r="BD1">
        <v>96.228877990000001</v>
      </c>
      <c r="BE1">
        <v>96.428042759999997</v>
      </c>
      <c r="BF1">
        <v>96.837137949999999</v>
      </c>
      <c r="BG1">
        <v>96.858669269999993</v>
      </c>
      <c r="BH1">
        <v>97.014771390000007</v>
      </c>
      <c r="BI1">
        <v>98.408924729999995</v>
      </c>
      <c r="BJ1">
        <v>98.495050039999995</v>
      </c>
      <c r="BK1">
        <v>98.565026849999995</v>
      </c>
      <c r="BL1">
        <v>99.060247340000004</v>
      </c>
      <c r="BM1">
        <v>99.776163929999996</v>
      </c>
      <c r="BN1">
        <v>99.813843750000004</v>
      </c>
      <c r="BO1">
        <v>99.98071152</v>
      </c>
      <c r="BP1">
        <v>100.2498531</v>
      </c>
      <c r="BQ1">
        <v>100.65894830000001</v>
      </c>
      <c r="BR1">
        <v>102.58061910000001</v>
      </c>
      <c r="BS1">
        <v>101.26182540000001</v>
      </c>
      <c r="BT1">
        <v>101.14878589999999</v>
      </c>
      <c r="BU1">
        <v>101.6816863</v>
      </c>
      <c r="BV1">
        <v>102.1876724</v>
      </c>
      <c r="BW1">
        <v>102.54832209999999</v>
      </c>
      <c r="BX1">
        <v>103.24809019999999</v>
      </c>
      <c r="BY1">
        <v>103.37727820000001</v>
      </c>
      <c r="BZ1">
        <v>104.2223827</v>
      </c>
      <c r="CA1">
        <v>105.5304108</v>
      </c>
      <c r="CB1">
        <v>104.9652135</v>
      </c>
      <c r="CC1">
        <v>104.9221508</v>
      </c>
      <c r="CD1">
        <v>104.5130556</v>
      </c>
      <c r="CE1">
        <v>105.1643782</v>
      </c>
      <c r="CF1">
        <v>106.0848424</v>
      </c>
      <c r="CG1">
        <v>107.3228936</v>
      </c>
      <c r="CH1">
        <v>107.0806662</v>
      </c>
      <c r="CI1">
        <v>107.7427545</v>
      </c>
      <c r="CJ1">
        <v>107.8181141</v>
      </c>
      <c r="CK1">
        <v>107.38210479999999</v>
      </c>
      <c r="CL1">
        <v>108.09263850000001</v>
      </c>
      <c r="CM1">
        <v>108.8677663</v>
      </c>
      <c r="CN1">
        <v>108.70089849999999</v>
      </c>
      <c r="CO1">
        <v>109.43296359999999</v>
      </c>
      <c r="CP1">
        <v>110.2134741</v>
      </c>
      <c r="CQ1">
        <v>111.71528410000001</v>
      </c>
      <c r="CR1">
        <v>111.2362121</v>
      </c>
      <c r="CS1">
        <v>112.4096694</v>
      </c>
      <c r="CT1">
        <v>113.313985</v>
      </c>
      <c r="CU1">
        <v>114.1913866</v>
      </c>
      <c r="CV1">
        <v>115.1387649</v>
      </c>
      <c r="CW1">
        <v>116.3929646</v>
      </c>
      <c r="CX1">
        <v>117.8409463</v>
      </c>
      <c r="CY1">
        <v>119.3589048</v>
      </c>
      <c r="CZ1">
        <v>119.4504129</v>
      </c>
      <c r="DA1">
        <v>118.93366109999999</v>
      </c>
      <c r="DB1">
        <v>118.3684638</v>
      </c>
      <c r="DC1">
        <v>117.62563299999999</v>
      </c>
      <c r="DD1">
        <v>117.3349601</v>
      </c>
      <c r="DE1">
        <v>117.0094418</v>
      </c>
      <c r="DF1">
        <v>116.8685373</v>
      </c>
      <c r="DG1">
        <v>117.42041330000001</v>
      </c>
      <c r="DH1" s="3">
        <v>117.5143496</v>
      </c>
      <c r="DI1" s="3">
        <v>117.84312679999999</v>
      </c>
      <c r="DJ1" s="3">
        <v>117.89009489999999</v>
      </c>
      <c r="DK1">
        <v>117.4086712</v>
      </c>
      <c r="DL1">
        <v>117.18557250000001</v>
      </c>
      <c r="DM1">
        <v>117.10337819999999</v>
      </c>
      <c r="DN1">
        <v>116.2814353</v>
      </c>
      <c r="DO1">
        <v>117.901837</v>
      </c>
      <c r="DP1">
        <v>117.42041330000001</v>
      </c>
      <c r="DQ1">
        <v>117.9370631</v>
      </c>
      <c r="DR1" s="14">
        <v>118.08970960000001</v>
      </c>
      <c r="DS1">
        <v>118.46545500000001</v>
      </c>
      <c r="DT1">
        <v>118.2540982</v>
      </c>
      <c r="DU1" s="3">
        <v>118.00751529999999</v>
      </c>
      <c r="DV1" s="3">
        <v>118.5476492</v>
      </c>
      <c r="DW1" s="8">
        <v>118.5711333</v>
      </c>
      <c r="DX1" s="8">
        <v>118.3715186</v>
      </c>
      <c r="DY1" s="15">
        <v>118.727</v>
      </c>
      <c r="DZ1">
        <v>119.514</v>
      </c>
      <c r="EA1">
        <v>120.0543026</v>
      </c>
      <c r="EB1">
        <v>119.9251362</v>
      </c>
      <c r="EC1">
        <v>120.676649821192</v>
      </c>
      <c r="ED1">
        <v>120.899755430475</v>
      </c>
      <c r="EE1">
        <v>121.68649626321</v>
      </c>
      <c r="EF1">
        <v>125.303155613695</v>
      </c>
      <c r="EG1">
        <v>125.913760439101</v>
      </c>
      <c r="EH1">
        <v>125.984214842033</v>
      </c>
      <c r="EI1">
        <v>126.313002055713</v>
      </c>
      <c r="EJ1">
        <v>126.45391086157601</v>
      </c>
      <c r="EK1">
        <v>126.11338124740701</v>
      </c>
      <c r="EL1">
        <v>126.019442043498</v>
      </c>
      <c r="EM1">
        <v>126.20732045131599</v>
      </c>
      <c r="EN1">
        <v>125.984214842033</v>
      </c>
      <c r="EO1" s="3">
        <v>126.406941259622</v>
      </c>
      <c r="EP1" s="3">
        <v>126.81792527672199</v>
      </c>
      <c r="EQ1" s="3">
        <v>127.005803684539</v>
      </c>
      <c r="ER1" s="3">
        <v>127.792544517275</v>
      </c>
      <c r="ES1" s="3">
        <v>127.44027250261701</v>
      </c>
      <c r="ET1" s="3">
        <v>126.747470873791</v>
      </c>
      <c r="EU1" s="3">
        <v>126.359971657667</v>
      </c>
      <c r="EV1" s="3">
        <v>126.58307726695</v>
      </c>
      <c r="EW1" s="5">
        <v>127.09974288844801</v>
      </c>
      <c r="EX1" s="5">
        <v>127.205424492845</v>
      </c>
      <c r="EY1" s="5">
        <v>127.029288485517</v>
      </c>
      <c r="EZ1" s="5">
        <v>126.97057648307405</v>
      </c>
      <c r="FA1" s="5">
        <v>127.169</v>
      </c>
      <c r="FB1" s="5">
        <v>127.70699999999999</v>
      </c>
      <c r="FC1" s="5">
        <v>128.28100000000001</v>
      </c>
      <c r="FD1" s="5">
        <v>127.473</v>
      </c>
      <c r="FE1" s="5">
        <v>127.286</v>
      </c>
      <c r="FF1" s="5">
        <v>127.54300000000001</v>
      </c>
      <c r="FG1" s="5">
        <v>127.39100000000001</v>
      </c>
      <c r="FH1" s="16">
        <v>127.496</v>
      </c>
      <c r="FI1" s="16">
        <v>127.71899999999999</v>
      </c>
      <c r="FJ1" s="16">
        <v>127.54300000000001</v>
      </c>
      <c r="FK1" s="16">
        <v>127.649</v>
      </c>
      <c r="FL1" s="5">
        <v>127.625</v>
      </c>
      <c r="FM1" s="5">
        <v>128.24600000000001</v>
      </c>
      <c r="FN1" s="5">
        <v>128.49199999999999</v>
      </c>
      <c r="FO1" s="5">
        <v>128.80799999999999</v>
      </c>
      <c r="FP1" s="5">
        <v>128.54130969082883</v>
      </c>
      <c r="FQ1" s="6">
        <v>128.83451198377193</v>
      </c>
      <c r="FR1" s="6">
        <v>129.34</v>
      </c>
      <c r="FS1" s="6">
        <v>130.07</v>
      </c>
      <c r="FT1" s="6">
        <v>130.38</v>
      </c>
      <c r="FU1" s="6">
        <v>130.22999999999999</v>
      </c>
      <c r="FV1" s="6">
        <v>130.29</v>
      </c>
      <c r="FW1" s="6">
        <v>129.63</v>
      </c>
      <c r="FX1" s="6">
        <v>128.58000000000001</v>
      </c>
      <c r="FY1" s="6">
        <v>127.63</v>
      </c>
      <c r="FZ1" s="6">
        <v>127.47</v>
      </c>
      <c r="GA1" s="6">
        <v>128.11000000000001</v>
      </c>
      <c r="GB1" s="6">
        <v>128.12</v>
      </c>
      <c r="GC1" s="6">
        <v>128.38</v>
      </c>
      <c r="GD1" s="6">
        <v>128.27000000000001</v>
      </c>
      <c r="GE1" s="6">
        <v>128.18123391064304</v>
      </c>
      <c r="GF1" s="6">
        <v>127.77447292467001</v>
      </c>
      <c r="GG1" s="6">
        <v>127.29965139763667</v>
      </c>
      <c r="GH1" s="6">
        <v>127.05845267932523</v>
      </c>
      <c r="GI1" s="6">
        <v>126.79280275435208</v>
      </c>
      <c r="GJ1" s="6">
        <v>126.55919160367755</v>
      </c>
    </row>
    <row r="4" spans="1:192">
      <c r="A4">
        <v>83.143214720000003</v>
      </c>
      <c r="B4" s="1">
        <v>36526</v>
      </c>
    </row>
    <row r="5" spans="1:192">
      <c r="A5">
        <v>83.557692739999993</v>
      </c>
      <c r="B5" s="1">
        <v>36557</v>
      </c>
    </row>
    <row r="6" spans="1:192">
      <c r="A6">
        <v>83.627669549999993</v>
      </c>
      <c r="B6" s="1">
        <v>36586</v>
      </c>
    </row>
    <row r="7" spans="1:192">
      <c r="A7">
        <v>83.692263530000005</v>
      </c>
      <c r="B7" s="1">
        <v>36617</v>
      </c>
    </row>
    <row r="8" spans="1:192">
      <c r="A8">
        <v>84.198249680000004</v>
      </c>
      <c r="B8" s="1">
        <v>36647</v>
      </c>
    </row>
    <row r="9" spans="1:192">
      <c r="A9">
        <v>85.140245190000002</v>
      </c>
      <c r="B9" s="1">
        <v>36678</v>
      </c>
    </row>
    <row r="10" spans="1:192">
      <c r="A10">
        <v>85.032588559999994</v>
      </c>
      <c r="B10" s="1">
        <v>36708</v>
      </c>
    </row>
    <row r="11" spans="1:192">
      <c r="A11">
        <v>85.3986211</v>
      </c>
      <c r="B11" s="1">
        <v>36739</v>
      </c>
    </row>
    <row r="12" spans="1:192">
      <c r="A12">
        <v>85.554723210000006</v>
      </c>
      <c r="B12" s="1">
        <v>36770</v>
      </c>
    </row>
    <row r="13" spans="1:192">
      <c r="A13">
        <v>85.549340380000004</v>
      </c>
      <c r="B13" s="1">
        <v>36800</v>
      </c>
    </row>
    <row r="14" spans="1:192">
      <c r="A14">
        <v>85.737739480000002</v>
      </c>
      <c r="B14" s="1">
        <v>36831</v>
      </c>
    </row>
    <row r="15" spans="1:192">
      <c r="A15">
        <v>86.141451840000002</v>
      </c>
      <c r="B15" s="1">
        <v>36861</v>
      </c>
    </row>
    <row r="16" spans="1:192">
      <c r="A16">
        <v>87.697090130000007</v>
      </c>
      <c r="B16" s="1">
        <v>36892</v>
      </c>
    </row>
    <row r="17" spans="1:2">
      <c r="A17">
        <v>87.54098802</v>
      </c>
      <c r="B17" s="1">
        <v>36923</v>
      </c>
    </row>
    <row r="18" spans="1:2">
      <c r="A18">
        <v>87.718621459999994</v>
      </c>
      <c r="B18" s="1">
        <v>36951</v>
      </c>
    </row>
    <row r="19" spans="1:2">
      <c r="A19">
        <v>87.837043750000007</v>
      </c>
      <c r="B19" s="1">
        <v>36982</v>
      </c>
    </row>
    <row r="20" spans="1:2">
      <c r="A20">
        <v>87.976997370000007</v>
      </c>
      <c r="B20" s="1">
        <v>37012</v>
      </c>
    </row>
    <row r="21" spans="1:2">
      <c r="A21">
        <v>88.095419660000005</v>
      </c>
      <c r="B21" s="1">
        <v>37043</v>
      </c>
    </row>
    <row r="22" spans="1:2">
      <c r="A22">
        <v>88.068505500000001</v>
      </c>
      <c r="B22" s="1">
        <v>37073</v>
      </c>
    </row>
    <row r="23" spans="1:2">
      <c r="A23">
        <v>88.364561230000007</v>
      </c>
      <c r="B23" s="1">
        <v>37104</v>
      </c>
    </row>
    <row r="24" spans="1:2">
      <c r="A24">
        <v>88.364561230000007</v>
      </c>
      <c r="B24" s="1">
        <v>37135</v>
      </c>
    </row>
    <row r="25" spans="1:2">
      <c r="A25">
        <v>87.551753680000004</v>
      </c>
      <c r="B25" s="1">
        <v>37165</v>
      </c>
    </row>
    <row r="26" spans="1:2">
      <c r="A26">
        <v>88.326881409999999</v>
      </c>
      <c r="B26" s="1">
        <v>37196</v>
      </c>
    </row>
    <row r="27" spans="1:2">
      <c r="A27">
        <v>87.368737409999994</v>
      </c>
      <c r="B27" s="1">
        <v>37226</v>
      </c>
    </row>
    <row r="28" spans="1:2">
      <c r="A28">
        <v>88.445303699999997</v>
      </c>
      <c r="B28" s="1">
        <v>37257</v>
      </c>
    </row>
    <row r="29" spans="1:2">
      <c r="A29">
        <v>88.725210939999997</v>
      </c>
      <c r="B29" s="1">
        <v>37288</v>
      </c>
    </row>
    <row r="30" spans="1:2">
      <c r="A30">
        <v>89.231197100000003</v>
      </c>
      <c r="B30" s="1">
        <v>37316</v>
      </c>
    </row>
    <row r="31" spans="1:2">
      <c r="A31">
        <v>89.559549820000001</v>
      </c>
      <c r="B31" s="1">
        <v>37347</v>
      </c>
    </row>
    <row r="32" spans="1:2">
      <c r="A32">
        <v>89.543401320000001</v>
      </c>
      <c r="B32" s="1">
        <v>37377</v>
      </c>
    </row>
    <row r="33" spans="1:2">
      <c r="A33">
        <v>90.124747119999995</v>
      </c>
      <c r="B33" s="1">
        <v>37408</v>
      </c>
    </row>
    <row r="34" spans="1:2">
      <c r="A34">
        <v>90.280849230000001</v>
      </c>
      <c r="B34" s="1">
        <v>37438</v>
      </c>
    </row>
    <row r="35" spans="1:2">
      <c r="A35">
        <v>89.941730849999999</v>
      </c>
      <c r="B35" s="1">
        <v>37469</v>
      </c>
    </row>
    <row r="36" spans="1:2">
      <c r="A36">
        <v>89.624143790000005</v>
      </c>
      <c r="B36" s="1">
        <v>37500</v>
      </c>
    </row>
    <row r="37" spans="1:2">
      <c r="A37">
        <v>89.742566089999997</v>
      </c>
      <c r="B37" s="1">
        <v>37530</v>
      </c>
    </row>
    <row r="38" spans="1:2">
      <c r="A38">
        <v>89.564932650000003</v>
      </c>
      <c r="B38" s="1">
        <v>37561</v>
      </c>
    </row>
    <row r="39" spans="1:2">
      <c r="A39">
        <v>89.807160060000001</v>
      </c>
      <c r="B39" s="1">
        <v>37591</v>
      </c>
    </row>
    <row r="40" spans="1:2">
      <c r="A40">
        <v>90.878343520000001</v>
      </c>
      <c r="B40" s="1">
        <v>37622</v>
      </c>
    </row>
    <row r="41" spans="1:2">
      <c r="A41">
        <v>91.104422439999993</v>
      </c>
      <c r="B41" s="1">
        <v>37653</v>
      </c>
    </row>
    <row r="42" spans="1:2">
      <c r="A42">
        <v>91.368181190000001</v>
      </c>
      <c r="B42" s="1">
        <v>37681</v>
      </c>
    </row>
    <row r="43" spans="1:2">
      <c r="A43">
        <v>91.330501369999993</v>
      </c>
      <c r="B43" s="1">
        <v>37712</v>
      </c>
    </row>
    <row r="44" spans="1:2">
      <c r="A44">
        <v>91.212079070000001</v>
      </c>
      <c r="B44" s="1">
        <v>37742</v>
      </c>
    </row>
    <row r="45" spans="1:2">
      <c r="A45">
        <v>91.518900470000005</v>
      </c>
      <c r="B45" s="1">
        <v>37773</v>
      </c>
    </row>
    <row r="46" spans="1:2">
      <c r="A46">
        <v>91.179782090000003</v>
      </c>
      <c r="B46" s="1">
        <v>37803</v>
      </c>
    </row>
    <row r="47" spans="1:2">
      <c r="A47">
        <v>91.475837819999995</v>
      </c>
      <c r="B47" s="1">
        <v>37834</v>
      </c>
    </row>
    <row r="48" spans="1:2">
      <c r="A48">
        <v>91.535048959999997</v>
      </c>
      <c r="B48" s="1">
        <v>37865</v>
      </c>
    </row>
    <row r="49" spans="1:2">
      <c r="A49">
        <v>91.82033903</v>
      </c>
      <c r="B49" s="1">
        <v>37895</v>
      </c>
    </row>
    <row r="50" spans="1:2">
      <c r="A50">
        <v>91.884933009999997</v>
      </c>
      <c r="B50" s="1">
        <v>37926</v>
      </c>
    </row>
    <row r="51" spans="1:2">
      <c r="A51">
        <v>92.067949279999993</v>
      </c>
      <c r="B51" s="1">
        <v>37956</v>
      </c>
    </row>
    <row r="52" spans="1:2">
      <c r="A52">
        <v>93.090687250000002</v>
      </c>
      <c r="B52" s="1">
        <v>37987</v>
      </c>
    </row>
    <row r="53" spans="1:2">
      <c r="A53">
        <v>93.499782440000004</v>
      </c>
      <c r="B53" s="1">
        <v>38018</v>
      </c>
    </row>
    <row r="54" spans="1:2">
      <c r="A54">
        <v>94.097276739999998</v>
      </c>
      <c r="B54" s="1">
        <v>38047</v>
      </c>
    </row>
    <row r="55" spans="1:2">
      <c r="A55">
        <v>94.888552959999998</v>
      </c>
      <c r="B55" s="1">
        <v>38078</v>
      </c>
    </row>
    <row r="56" spans="1:2">
      <c r="A56">
        <v>95.556024059999999</v>
      </c>
      <c r="B56" s="1">
        <v>38108</v>
      </c>
    </row>
    <row r="57" spans="1:2">
      <c r="A57">
        <v>95.717509010000001</v>
      </c>
      <c r="B57" s="1">
        <v>38139</v>
      </c>
    </row>
    <row r="58" spans="1:2">
      <c r="A58">
        <v>96.013564740000007</v>
      </c>
      <c r="B58" s="1">
        <v>38169</v>
      </c>
    </row>
    <row r="59" spans="1:2">
      <c r="A59">
        <v>96.228877990000001</v>
      </c>
      <c r="B59" s="1">
        <v>38200</v>
      </c>
    </row>
    <row r="60" spans="1:2">
      <c r="A60">
        <v>96.428042759999997</v>
      </c>
      <c r="B60" s="1">
        <v>38231</v>
      </c>
    </row>
    <row r="61" spans="1:2">
      <c r="A61">
        <v>96.837137949999999</v>
      </c>
      <c r="B61" s="1">
        <v>38261</v>
      </c>
    </row>
    <row r="62" spans="1:2">
      <c r="A62">
        <v>96.858669269999993</v>
      </c>
      <c r="B62" s="1">
        <v>38292</v>
      </c>
    </row>
    <row r="63" spans="1:2">
      <c r="A63">
        <v>97.014771390000007</v>
      </c>
      <c r="B63" s="1">
        <v>38322</v>
      </c>
    </row>
    <row r="64" spans="1:2">
      <c r="A64">
        <v>98.408924729999995</v>
      </c>
      <c r="B64" s="1">
        <v>38353</v>
      </c>
    </row>
    <row r="65" spans="1:3">
      <c r="A65">
        <v>98.495050039999995</v>
      </c>
      <c r="B65" s="1">
        <v>38384</v>
      </c>
    </row>
    <row r="66" spans="1:3">
      <c r="A66">
        <v>98.565026849999995</v>
      </c>
      <c r="B66" s="1">
        <v>38412</v>
      </c>
    </row>
    <row r="67" spans="1:3">
      <c r="A67">
        <v>99.060247340000004</v>
      </c>
      <c r="B67" s="1">
        <v>38443</v>
      </c>
    </row>
    <row r="68" spans="1:3">
      <c r="A68">
        <v>99.776163929999996</v>
      </c>
      <c r="B68" s="1">
        <v>38473</v>
      </c>
    </row>
    <row r="69" spans="1:3">
      <c r="A69">
        <v>99.813843750000004</v>
      </c>
      <c r="B69" s="1">
        <v>38504</v>
      </c>
    </row>
    <row r="70" spans="1:3">
      <c r="A70">
        <v>99.98071152</v>
      </c>
      <c r="B70" s="1">
        <v>38534</v>
      </c>
    </row>
    <row r="71" spans="1:3">
      <c r="A71">
        <v>100.2498531</v>
      </c>
      <c r="B71" s="1">
        <v>38565</v>
      </c>
    </row>
    <row r="72" spans="1:3">
      <c r="A72">
        <v>100.65894830000001</v>
      </c>
      <c r="B72" s="1">
        <v>38596</v>
      </c>
    </row>
    <row r="73" spans="1:3">
      <c r="A73">
        <v>102.58061910000001</v>
      </c>
      <c r="B73" s="1">
        <v>38626</v>
      </c>
    </row>
    <row r="74" spans="1:3">
      <c r="A74">
        <v>101.26182540000001</v>
      </c>
      <c r="B74" s="1">
        <v>38657</v>
      </c>
    </row>
    <row r="75" spans="1:3">
      <c r="A75">
        <v>101.14878589999999</v>
      </c>
      <c r="B75" s="1">
        <v>38687</v>
      </c>
    </row>
    <row r="76" spans="1:3">
      <c r="A76">
        <v>85.8875849455044</v>
      </c>
      <c r="B76" s="1">
        <v>38718</v>
      </c>
      <c r="C76" s="12">
        <f>A76/100</f>
        <v>0.85887584945504403</v>
      </c>
    </row>
    <row r="77" spans="1:3">
      <c r="A77">
        <v>86.314976845180198</v>
      </c>
      <c r="B77" s="1">
        <v>38749</v>
      </c>
      <c r="C77" s="12">
        <f t="shared" ref="C77:C140" si="0">A77/100</f>
        <v>0.86314976845180202</v>
      </c>
    </row>
    <row r="78" spans="1:3">
      <c r="A78">
        <v>86.619607241757706</v>
      </c>
      <c r="B78" s="1">
        <v>38777</v>
      </c>
      <c r="C78" s="12">
        <f t="shared" si="0"/>
        <v>0.86619607241757701</v>
      </c>
    </row>
    <row r="79" spans="1:3">
      <c r="A79">
        <v>87.210681145564806</v>
      </c>
      <c r="B79" s="1">
        <v>38808</v>
      </c>
      <c r="C79" s="12">
        <f t="shared" si="0"/>
        <v>0.87210681145564806</v>
      </c>
    </row>
    <row r="80" spans="1:3">
      <c r="A80">
        <v>87.319802481652303</v>
      </c>
      <c r="B80" s="1">
        <v>38838</v>
      </c>
      <c r="C80" s="12">
        <f t="shared" si="0"/>
        <v>0.87319802481652298</v>
      </c>
    </row>
    <row r="81" spans="1:3">
      <c r="A81">
        <v>88.033637888557706</v>
      </c>
      <c r="B81" s="1">
        <v>38869</v>
      </c>
      <c r="C81" s="12">
        <f t="shared" si="0"/>
        <v>0.88033637888557703</v>
      </c>
    </row>
    <row r="82" spans="1:3">
      <c r="A82">
        <v>89.138491416443301</v>
      </c>
      <c r="B82" s="1">
        <v>38899</v>
      </c>
      <c r="C82" s="12">
        <f t="shared" si="0"/>
        <v>0.891384914164433</v>
      </c>
    </row>
    <row r="83" spans="1:3">
      <c r="A83">
        <v>88.661085571060596</v>
      </c>
      <c r="B83" s="1">
        <v>38930</v>
      </c>
      <c r="C83" s="12">
        <f t="shared" si="0"/>
        <v>0.88661085571060594</v>
      </c>
    </row>
    <row r="84" spans="1:3">
      <c r="A84">
        <v>88.624711792364806</v>
      </c>
      <c r="B84" s="1">
        <v>38961</v>
      </c>
      <c r="C84" s="12">
        <f t="shared" si="0"/>
        <v>0.88624711792364808</v>
      </c>
    </row>
    <row r="85" spans="1:3">
      <c r="A85">
        <v>88.279160894754497</v>
      </c>
      <c r="B85" s="1">
        <v>38991</v>
      </c>
      <c r="C85" s="12">
        <f t="shared" si="0"/>
        <v>0.88279160894754494</v>
      </c>
    </row>
    <row r="86" spans="1:3">
      <c r="A86">
        <v>88.829314297528796</v>
      </c>
      <c r="B86" s="1">
        <v>39022</v>
      </c>
      <c r="C86" s="12">
        <f t="shared" si="0"/>
        <v>0.88829314297528794</v>
      </c>
    </row>
    <row r="87" spans="1:3">
      <c r="A87">
        <v>89.606803817151899</v>
      </c>
      <c r="B87" s="1">
        <v>39052</v>
      </c>
      <c r="C87" s="12">
        <f t="shared" si="0"/>
        <v>0.89606803817151903</v>
      </c>
    </row>
    <row r="88" spans="1:3">
      <c r="A88">
        <v>90.652549954656706</v>
      </c>
      <c r="B88" s="1">
        <v>39083</v>
      </c>
      <c r="C88" s="12">
        <f t="shared" si="0"/>
        <v>0.90652549954656703</v>
      </c>
    </row>
    <row r="89" spans="1:3">
      <c r="A89">
        <v>90.447947449492801</v>
      </c>
      <c r="B89" s="1">
        <v>39114</v>
      </c>
      <c r="C89" s="12">
        <f t="shared" si="0"/>
        <v>0.90447947449492805</v>
      </c>
    </row>
    <row r="90" spans="1:3">
      <c r="A90">
        <v>91.007194296940995</v>
      </c>
      <c r="B90" s="1">
        <v>39142</v>
      </c>
      <c r="C90" s="12">
        <f t="shared" si="0"/>
        <v>0.91007194296940996</v>
      </c>
    </row>
    <row r="91" spans="1:3">
      <c r="A91">
        <v>91.070848409658694</v>
      </c>
      <c r="B91" s="1">
        <v>39173</v>
      </c>
      <c r="C91" s="12">
        <f t="shared" si="0"/>
        <v>0.91070848409658689</v>
      </c>
    </row>
    <row r="92" spans="1:3">
      <c r="A92">
        <v>90.702563900363501</v>
      </c>
      <c r="B92" s="1">
        <v>39203</v>
      </c>
      <c r="C92" s="12">
        <f t="shared" si="0"/>
        <v>0.90702563900363498</v>
      </c>
    </row>
    <row r="93" spans="1:3">
      <c r="A93">
        <v>91.302731248844495</v>
      </c>
      <c r="B93" s="1">
        <v>39234</v>
      </c>
      <c r="C93" s="12">
        <f t="shared" si="0"/>
        <v>0.91302731248844493</v>
      </c>
    </row>
    <row r="94" spans="1:3">
      <c r="A94">
        <v>91.957459265369295</v>
      </c>
      <c r="B94" s="1">
        <v>39264</v>
      </c>
      <c r="C94" s="12">
        <f t="shared" si="0"/>
        <v>0.9195745926536929</v>
      </c>
    </row>
    <row r="95" spans="1:3">
      <c r="A95">
        <v>91.816510872923004</v>
      </c>
      <c r="B95" s="1">
        <v>39295</v>
      </c>
      <c r="C95" s="12">
        <f t="shared" si="0"/>
        <v>0.91816510872923007</v>
      </c>
    </row>
    <row r="96" spans="1:3">
      <c r="A96">
        <v>92.4348651107519</v>
      </c>
      <c r="B96" s="1">
        <v>39326</v>
      </c>
      <c r="C96" s="12">
        <f t="shared" si="0"/>
        <v>0.92434865110751896</v>
      </c>
    </row>
    <row r="97" spans="1:3">
      <c r="A97">
        <v>93.094139849613597</v>
      </c>
      <c r="B97" s="1">
        <v>39356</v>
      </c>
      <c r="C97" s="12">
        <f t="shared" si="0"/>
        <v>0.930941398496136</v>
      </c>
    </row>
    <row r="98" spans="1:3">
      <c r="A98">
        <v>94.362675381630297</v>
      </c>
      <c r="B98" s="1">
        <v>39387</v>
      </c>
      <c r="C98" s="12">
        <f t="shared" si="0"/>
        <v>0.94362675381630301</v>
      </c>
    </row>
    <row r="99" spans="1:3">
      <c r="A99">
        <v>93.958017093639398</v>
      </c>
      <c r="B99" s="1">
        <v>39417</v>
      </c>
      <c r="C99" s="12">
        <f t="shared" si="0"/>
        <v>0.93958017093639401</v>
      </c>
    </row>
    <row r="100" spans="1:3">
      <c r="A100">
        <v>94.949202563100499</v>
      </c>
      <c r="B100" s="1">
        <v>39448</v>
      </c>
      <c r="C100" s="12">
        <f t="shared" si="0"/>
        <v>0.94949202563100499</v>
      </c>
    </row>
    <row r="101" spans="1:3">
      <c r="A101">
        <v>95.713051915712697</v>
      </c>
      <c r="B101" s="1">
        <v>39479</v>
      </c>
      <c r="C101" s="12">
        <f t="shared" si="0"/>
        <v>0.95713051915712699</v>
      </c>
    </row>
    <row r="102" spans="1:3">
      <c r="A102">
        <v>96.454167656639996</v>
      </c>
      <c r="B102" s="1">
        <v>39508</v>
      </c>
      <c r="C102" s="12">
        <f t="shared" si="0"/>
        <v>0.9645416765664</v>
      </c>
    </row>
    <row r="103" spans="1:3">
      <c r="A103">
        <v>97.254390787947997</v>
      </c>
      <c r="B103" s="1">
        <v>39539</v>
      </c>
      <c r="C103" s="12">
        <f t="shared" si="0"/>
        <v>0.97254390787947997</v>
      </c>
    </row>
    <row r="104" spans="1:3">
      <c r="A104">
        <v>98.313777092463795</v>
      </c>
      <c r="B104" s="1">
        <v>39569</v>
      </c>
      <c r="C104" s="12">
        <f t="shared" si="0"/>
        <v>0.98313777092463794</v>
      </c>
    </row>
    <row r="105" spans="1:3">
      <c r="A105">
        <v>99.536845401110696</v>
      </c>
      <c r="B105" s="1">
        <v>39600</v>
      </c>
      <c r="C105" s="12">
        <f t="shared" si="0"/>
        <v>0.99536845401110696</v>
      </c>
    </row>
    <row r="106" spans="1:3">
      <c r="A106">
        <v>100.819021100138</v>
      </c>
      <c r="B106" s="1">
        <v>39630</v>
      </c>
      <c r="C106" s="12">
        <f t="shared" si="0"/>
        <v>1.0081902110013801</v>
      </c>
    </row>
    <row r="107" spans="1:3">
      <c r="A107">
        <v>100.896315379867</v>
      </c>
      <c r="B107" s="1">
        <v>39661</v>
      </c>
      <c r="C107" s="12">
        <f t="shared" si="0"/>
        <v>1.0089631537986701</v>
      </c>
    </row>
    <row r="108" spans="1:3">
      <c r="A108">
        <v>100.459830035517</v>
      </c>
      <c r="B108" s="1">
        <v>39692</v>
      </c>
      <c r="C108" s="12">
        <f t="shared" si="0"/>
        <v>1.0045983003551699</v>
      </c>
    </row>
    <row r="109" spans="1:3">
      <c r="A109">
        <v>99.982424190134495</v>
      </c>
      <c r="B109" s="1">
        <v>39722</v>
      </c>
      <c r="C109" s="12">
        <f t="shared" si="0"/>
        <v>0.999824241901345</v>
      </c>
    </row>
    <row r="110" spans="1:3">
      <c r="A110">
        <v>99.354976507631605</v>
      </c>
      <c r="B110" s="1">
        <v>39753</v>
      </c>
      <c r="C110" s="12">
        <f t="shared" si="0"/>
        <v>0.99354976507631609</v>
      </c>
    </row>
    <row r="111" spans="1:3">
      <c r="A111">
        <v>99.1094535014348</v>
      </c>
      <c r="B111" s="1">
        <v>39783</v>
      </c>
      <c r="C111" s="12">
        <f t="shared" si="0"/>
        <v>0.99109453501434797</v>
      </c>
    </row>
    <row r="112" spans="1:3">
      <c r="A112">
        <v>98.732075547465698</v>
      </c>
      <c r="B112" s="1">
        <v>39814</v>
      </c>
      <c r="C112" s="12">
        <f t="shared" si="0"/>
        <v>0.98732075547465703</v>
      </c>
    </row>
    <row r="113" spans="1:3">
      <c r="A113">
        <v>98.868477217575006</v>
      </c>
      <c r="B113" s="1">
        <v>39845</v>
      </c>
      <c r="C113" s="12">
        <f t="shared" si="0"/>
        <v>0.98868477217575002</v>
      </c>
    </row>
    <row r="114" spans="1:3">
      <c r="A114">
        <v>99.627779847850306</v>
      </c>
      <c r="B114" s="1">
        <v>39873</v>
      </c>
      <c r="C114" s="12">
        <f t="shared" si="0"/>
        <v>0.99627779847850306</v>
      </c>
    </row>
    <row r="115" spans="1:3">
      <c r="A115" s="3">
        <v>99.459551121382106</v>
      </c>
      <c r="B115" s="1">
        <v>39904</v>
      </c>
      <c r="C115" s="12">
        <f t="shared" si="0"/>
        <v>0.99459551121382106</v>
      </c>
    </row>
    <row r="116" spans="1:3">
      <c r="A116" s="3">
        <v>99.523205234099805</v>
      </c>
      <c r="B116" s="1">
        <v>39934</v>
      </c>
      <c r="C116" s="12">
        <f t="shared" si="0"/>
        <v>0.9952320523409981</v>
      </c>
    </row>
    <row r="117" spans="1:3">
      <c r="A117" s="3">
        <v>99.7005274052419</v>
      </c>
      <c r="B117" s="1">
        <v>39965</v>
      </c>
      <c r="C117" s="12">
        <f t="shared" si="0"/>
        <v>0.99700527405241901</v>
      </c>
    </row>
    <row r="118" spans="1:3">
      <c r="A118">
        <v>99.541392123447693</v>
      </c>
      <c r="B118" s="1">
        <v>39995</v>
      </c>
      <c r="C118" s="12">
        <f t="shared" si="0"/>
        <v>0.99541392123447692</v>
      </c>
    </row>
    <row r="119" spans="1:3">
      <c r="A119">
        <v>99.309509284261793</v>
      </c>
      <c r="B119" s="1">
        <v>40026</v>
      </c>
      <c r="C119" s="12">
        <f t="shared" si="0"/>
        <v>0.99309509284261788</v>
      </c>
    </row>
    <row r="120" spans="1:3">
      <c r="A120">
        <v>99.114000223771797</v>
      </c>
      <c r="B120" s="1">
        <v>40057</v>
      </c>
      <c r="C120" s="12">
        <f t="shared" si="0"/>
        <v>0.99114000223771792</v>
      </c>
    </row>
    <row r="121" spans="1:3">
      <c r="A121">
        <v>98.381977927518406</v>
      </c>
      <c r="B121" s="1">
        <v>40087</v>
      </c>
      <c r="C121" s="12">
        <f t="shared" si="0"/>
        <v>0.98381977927518405</v>
      </c>
    </row>
    <row r="122" spans="1:3">
      <c r="A122">
        <v>97.986413084201402</v>
      </c>
      <c r="B122" s="1">
        <v>40118</v>
      </c>
      <c r="C122" s="12">
        <f t="shared" si="0"/>
        <v>0.97986413084201407</v>
      </c>
    </row>
    <row r="123" spans="1:3">
      <c r="A123">
        <v>98.9184911632818</v>
      </c>
      <c r="B123" s="1">
        <v>40148</v>
      </c>
      <c r="C123" s="12">
        <f t="shared" si="0"/>
        <v>0.98918491163281796</v>
      </c>
    </row>
    <row r="124" spans="1:3">
      <c r="A124">
        <v>99.353732524400201</v>
      </c>
      <c r="B124" s="1">
        <v>40179</v>
      </c>
      <c r="C124" s="12">
        <f t="shared" si="0"/>
        <v>0.99353732524400196</v>
      </c>
    </row>
    <row r="125" spans="1:3">
      <c r="A125" s="14">
        <v>99.482326562912505</v>
      </c>
      <c r="B125" s="1">
        <v>40210</v>
      </c>
      <c r="C125" s="12">
        <f t="shared" si="0"/>
        <v>0.99482326562912504</v>
      </c>
    </row>
    <row r="126" spans="1:3">
      <c r="A126">
        <v>99.798865734635001</v>
      </c>
      <c r="B126" s="1">
        <v>40238</v>
      </c>
      <c r="C126" s="12">
        <f t="shared" si="0"/>
        <v>0.99798865734635001</v>
      </c>
    </row>
    <row r="127" spans="1:3">
      <c r="A127">
        <v>99.620812450541095</v>
      </c>
      <c r="B127" s="1">
        <v>40269</v>
      </c>
      <c r="C127" s="12">
        <f t="shared" si="0"/>
        <v>0.99620812450541096</v>
      </c>
    </row>
    <row r="128" spans="1:3">
      <c r="A128" s="3">
        <v>99.413083619098202</v>
      </c>
      <c r="B128" s="1">
        <v>40299</v>
      </c>
      <c r="C128" s="12">
        <f t="shared" si="0"/>
        <v>0.99413083619098197</v>
      </c>
    </row>
    <row r="129" spans="1:3">
      <c r="A129" s="3">
        <v>99.868108678449303</v>
      </c>
      <c r="B129" s="1">
        <v>40330</v>
      </c>
      <c r="C129" s="12">
        <f t="shared" si="0"/>
        <v>0.99868108678449308</v>
      </c>
    </row>
    <row r="130" spans="1:3">
      <c r="A130" s="8">
        <v>99.887892376681904</v>
      </c>
      <c r="B130" s="1">
        <v>40360</v>
      </c>
      <c r="C130" s="12">
        <f t="shared" si="0"/>
        <v>0.99887892376681908</v>
      </c>
    </row>
    <row r="131" spans="1:3">
      <c r="A131" s="8">
        <v>99.719730941704398</v>
      </c>
      <c r="B131" s="1">
        <v>40391</v>
      </c>
      <c r="C131" s="12">
        <f t="shared" si="0"/>
        <v>0.99719730941704399</v>
      </c>
    </row>
    <row r="132" spans="1:3">
      <c r="A132" s="15">
        <v>100.016486415194</v>
      </c>
      <c r="B132" s="1">
        <v>40422</v>
      </c>
      <c r="C132" s="12">
        <f t="shared" si="0"/>
        <v>1.0001648641519401</v>
      </c>
    </row>
    <row r="133" spans="1:3">
      <c r="A133">
        <v>100.679240305988</v>
      </c>
      <c r="B133" s="1">
        <v>40452</v>
      </c>
      <c r="C133" s="12">
        <f t="shared" si="0"/>
        <v>1.00679240305988</v>
      </c>
    </row>
    <row r="134" spans="1:3">
      <c r="A134">
        <v>101.134265365339</v>
      </c>
      <c r="B134" s="1">
        <v>40483</v>
      </c>
      <c r="C134" s="12">
        <f t="shared" si="0"/>
        <v>1.01134265365339</v>
      </c>
    </row>
    <row r="135" spans="1:3">
      <c r="A135">
        <v>101.02545502506</v>
      </c>
      <c r="B135" s="1">
        <v>40513</v>
      </c>
      <c r="C135" s="12">
        <f t="shared" si="0"/>
        <v>1.0102545502506</v>
      </c>
    </row>
    <row r="136" spans="1:3">
      <c r="A136">
        <v>101.658533368505</v>
      </c>
      <c r="B136" s="1">
        <v>40544</v>
      </c>
      <c r="C136" s="12">
        <f t="shared" si="0"/>
        <v>1.0165853336850501</v>
      </c>
    </row>
    <row r="137" spans="1:3">
      <c r="A137">
        <v>101.846478501715</v>
      </c>
      <c r="B137" s="1">
        <v>40575</v>
      </c>
      <c r="C137" s="12">
        <f t="shared" si="0"/>
        <v>1.01846478501715</v>
      </c>
    </row>
    <row r="138" spans="1:3">
      <c r="A138">
        <v>102.50923239250901</v>
      </c>
      <c r="B138" s="1">
        <v>40603</v>
      </c>
      <c r="C138" s="12">
        <f t="shared" si="0"/>
        <v>1.02509232392509</v>
      </c>
    </row>
    <row r="139" spans="1:3">
      <c r="A139">
        <v>105.55592192033799</v>
      </c>
      <c r="B139" s="1">
        <v>40634</v>
      </c>
      <c r="C139" s="12">
        <f t="shared" si="0"/>
        <v>1.05555921920338</v>
      </c>
    </row>
    <row r="140" spans="1:3">
      <c r="A140">
        <v>106.070298074387</v>
      </c>
      <c r="B140" s="1">
        <v>40664</v>
      </c>
      <c r="C140" s="12">
        <f t="shared" si="0"/>
        <v>1.0607029807438699</v>
      </c>
    </row>
    <row r="141" spans="1:3">
      <c r="A141">
        <v>106.129649169085</v>
      </c>
      <c r="B141" s="1">
        <v>40695</v>
      </c>
      <c r="C141" s="12">
        <f t="shared" ref="C141:C204" si="1">A141/100</f>
        <v>1.0612964916908501</v>
      </c>
    </row>
    <row r="142" spans="1:3">
      <c r="A142">
        <v>106.406620944342</v>
      </c>
      <c r="B142" s="1">
        <v>40725</v>
      </c>
      <c r="C142" s="12">
        <f t="shared" si="1"/>
        <v>1.0640662094434199</v>
      </c>
    </row>
    <row r="143" spans="1:3">
      <c r="A143">
        <v>106.525323133738</v>
      </c>
      <c r="B143" s="1">
        <v>40756</v>
      </c>
      <c r="C143" s="12">
        <f t="shared" si="1"/>
        <v>1.0652532313373799</v>
      </c>
    </row>
    <row r="144" spans="1:3">
      <c r="A144">
        <v>106.238459509365</v>
      </c>
      <c r="B144" s="1">
        <v>40787</v>
      </c>
      <c r="C144" s="12">
        <f t="shared" si="1"/>
        <v>1.0623845950936499</v>
      </c>
    </row>
    <row r="145" spans="1:3">
      <c r="A145">
        <v>106.159324716434</v>
      </c>
      <c r="B145" s="1">
        <v>40817</v>
      </c>
      <c r="C145" s="12">
        <f t="shared" si="1"/>
        <v>1.0615932471643399</v>
      </c>
    </row>
    <row r="146" spans="1:3">
      <c r="A146">
        <v>106.31759430229501</v>
      </c>
      <c r="B146" s="1">
        <v>40848</v>
      </c>
      <c r="C146" s="12">
        <f t="shared" si="1"/>
        <v>1.0631759430229502</v>
      </c>
    </row>
    <row r="147" spans="1:3">
      <c r="A147">
        <v>106.129649169085</v>
      </c>
      <c r="B147" s="1">
        <v>40878</v>
      </c>
      <c r="C147" s="12">
        <f t="shared" si="1"/>
        <v>1.0612964916908501</v>
      </c>
    </row>
    <row r="148" spans="1:3">
      <c r="A148" s="3">
        <v>106.485755737273</v>
      </c>
      <c r="B148" s="1">
        <v>40909</v>
      </c>
      <c r="C148" s="12">
        <f t="shared" si="1"/>
        <v>1.0648575573727299</v>
      </c>
    </row>
    <row r="149" spans="1:3">
      <c r="A149" s="3">
        <v>106.831970456344</v>
      </c>
      <c r="B149" s="1">
        <v>40940</v>
      </c>
      <c r="C149" s="12">
        <f t="shared" si="1"/>
        <v>1.0683197045634401</v>
      </c>
    </row>
    <row r="150" spans="1:3">
      <c r="A150" s="3">
        <v>106.990240042206</v>
      </c>
      <c r="B150" s="1">
        <v>40969</v>
      </c>
      <c r="C150" s="12">
        <f t="shared" si="1"/>
        <v>1.0699024004220599</v>
      </c>
    </row>
    <row r="151" spans="1:3">
      <c r="A151" s="3">
        <v>107.652993933</v>
      </c>
      <c r="B151" s="1">
        <v>41000</v>
      </c>
      <c r="C151" s="12">
        <f t="shared" si="1"/>
        <v>1.0765299393300001</v>
      </c>
    </row>
    <row r="152" spans="1:3">
      <c r="A152" s="3">
        <v>107.35623845951</v>
      </c>
      <c r="B152" s="1">
        <v>41030</v>
      </c>
      <c r="C152" s="12">
        <f t="shared" si="1"/>
        <v>1.0735623845950999</v>
      </c>
    </row>
    <row r="153" spans="1:3">
      <c r="A153" s="3">
        <v>106.77261936164599</v>
      </c>
      <c r="B153" s="1">
        <v>41061</v>
      </c>
      <c r="C153" s="12">
        <f t="shared" si="1"/>
        <v>1.0677261936164599</v>
      </c>
    </row>
    <row r="154" spans="1:3">
      <c r="A154" s="3">
        <v>106.44618834080801</v>
      </c>
      <c r="B154" s="1">
        <v>41091</v>
      </c>
      <c r="C154" s="12">
        <f t="shared" si="1"/>
        <v>1.0644618834080801</v>
      </c>
    </row>
    <row r="155" spans="1:3">
      <c r="A155" s="3">
        <v>106.632155104194</v>
      </c>
      <c r="B155" s="1">
        <v>41122</v>
      </c>
      <c r="C155" s="12">
        <f t="shared" si="1"/>
        <v>1.0663215510419399</v>
      </c>
    </row>
    <row r="156" spans="1:3">
      <c r="A156" s="5">
        <v>107.069374835136</v>
      </c>
      <c r="B156" s="1">
        <v>41153</v>
      </c>
      <c r="C156" s="12">
        <f t="shared" si="1"/>
        <v>1.0706937483513601</v>
      </c>
    </row>
    <row r="157" spans="1:3">
      <c r="A157" s="5">
        <v>107.15840147718301</v>
      </c>
      <c r="B157" s="1">
        <v>41183</v>
      </c>
      <c r="C157" s="12">
        <f t="shared" si="1"/>
        <v>1.0715840147718301</v>
      </c>
    </row>
    <row r="158" spans="1:3">
      <c r="A158" s="5">
        <v>107.010023740438</v>
      </c>
      <c r="B158" s="1">
        <v>41214</v>
      </c>
      <c r="C158" s="12">
        <f t="shared" si="1"/>
        <v>1.07010023740438</v>
      </c>
    </row>
    <row r="159" spans="1:3">
      <c r="A159" s="5">
        <v>106.960564494857</v>
      </c>
      <c r="B159" s="1">
        <v>41244</v>
      </c>
      <c r="C159" s="12">
        <f t="shared" si="1"/>
        <v>1.06960564494857</v>
      </c>
    </row>
    <row r="160" spans="1:3">
      <c r="A160" s="5">
        <v>107.415589554208</v>
      </c>
      <c r="B160" s="1">
        <v>41275</v>
      </c>
      <c r="C160" s="12">
        <f t="shared" si="1"/>
        <v>1.07415589554208</v>
      </c>
    </row>
    <row r="161" spans="1:3">
      <c r="A161" s="5">
        <v>107.870614613559</v>
      </c>
      <c r="B161" s="1">
        <v>41306</v>
      </c>
      <c r="C161" s="12">
        <f t="shared" si="1"/>
        <v>1.07870614613559</v>
      </c>
    </row>
    <row r="162" spans="1:3">
      <c r="A162" s="5">
        <v>108.800448430494</v>
      </c>
      <c r="B162" s="1">
        <v>41334</v>
      </c>
      <c r="C162" s="12">
        <f t="shared" si="1"/>
        <v>1.0880044843049399</v>
      </c>
    </row>
    <row r="163" spans="1:3">
      <c r="A163" s="5">
        <v>107.67277763123199</v>
      </c>
      <c r="B163" s="1">
        <v>41365</v>
      </c>
      <c r="C163" s="12">
        <f t="shared" si="1"/>
        <v>1.07672777631232</v>
      </c>
    </row>
    <row r="164" spans="1:3">
      <c r="A164" s="5">
        <v>107.514508045371</v>
      </c>
      <c r="B164" s="1">
        <v>41395</v>
      </c>
      <c r="C164" s="12">
        <f t="shared" si="1"/>
        <v>1.0751450804537099</v>
      </c>
    </row>
    <row r="165" spans="1:3">
      <c r="A165" s="5">
        <v>107.73212872593</v>
      </c>
      <c r="B165" s="1">
        <v>41426</v>
      </c>
      <c r="C165" s="12">
        <f t="shared" si="1"/>
        <v>1.0773212872592999</v>
      </c>
    </row>
    <row r="166" spans="1:3">
      <c r="A166" s="5">
        <v>107.603534687418</v>
      </c>
      <c r="B166" s="1">
        <v>41456</v>
      </c>
      <c r="C166" s="12">
        <f t="shared" si="1"/>
        <v>1.0760353468741801</v>
      </c>
    </row>
    <row r="167" spans="1:3">
      <c r="A167" s="16">
        <v>107.69256132946499</v>
      </c>
      <c r="B167" s="1">
        <v>41487</v>
      </c>
      <c r="C167" s="12">
        <f t="shared" si="1"/>
        <v>1.0769256132946499</v>
      </c>
    </row>
    <row r="168" spans="1:3">
      <c r="A168" s="16">
        <v>107.880506462675</v>
      </c>
      <c r="B168" s="1">
        <v>41518</v>
      </c>
      <c r="C168" s="12">
        <f t="shared" si="1"/>
        <v>1.07880506462675</v>
      </c>
    </row>
    <row r="169" spans="1:3">
      <c r="A169" s="16">
        <v>107.73212872593</v>
      </c>
      <c r="B169" s="1">
        <v>41548</v>
      </c>
      <c r="C169" s="12">
        <f t="shared" si="1"/>
        <v>1.0773212872592999</v>
      </c>
    </row>
    <row r="170" spans="1:3">
      <c r="A170" s="16">
        <v>107.821155367977</v>
      </c>
      <c r="B170" s="1">
        <v>41579</v>
      </c>
      <c r="C170" s="12">
        <f t="shared" si="1"/>
        <v>1.0782115536797701</v>
      </c>
    </row>
    <row r="171" spans="1:3">
      <c r="A171" s="5">
        <v>107.801371669744</v>
      </c>
      <c r="B171" s="1">
        <v>41609</v>
      </c>
      <c r="C171" s="12">
        <f t="shared" si="1"/>
        <v>1.0780137166974399</v>
      </c>
    </row>
    <row r="172" spans="1:3">
      <c r="A172" s="5">
        <v>108.32563967291</v>
      </c>
      <c r="B172" s="1">
        <v>41640</v>
      </c>
      <c r="C172" s="12">
        <f t="shared" si="1"/>
        <v>1.0832563967291</v>
      </c>
    </row>
    <row r="173" spans="1:3">
      <c r="A173" s="5">
        <v>108.53336850435301</v>
      </c>
      <c r="B173" s="1">
        <v>41671</v>
      </c>
      <c r="C173" s="12">
        <f t="shared" si="1"/>
        <v>1.08533368504353</v>
      </c>
    </row>
    <row r="174" spans="1:3">
      <c r="A174" s="5">
        <v>108.800448430494</v>
      </c>
      <c r="B174" s="1">
        <v>41699</v>
      </c>
      <c r="C174" s="12">
        <f t="shared" si="1"/>
        <v>1.0880044843049399</v>
      </c>
    </row>
    <row r="175" spans="1:3">
      <c r="A175" s="5">
        <v>108.286072276445</v>
      </c>
      <c r="B175" s="1">
        <v>41730</v>
      </c>
      <c r="C175" s="12">
        <f t="shared" si="1"/>
        <v>1.08286072276445</v>
      </c>
    </row>
    <row r="176" spans="1:3">
      <c r="A176" s="6">
        <v>108.53336850435301</v>
      </c>
      <c r="B176" s="1">
        <v>41760</v>
      </c>
      <c r="C176" s="12">
        <f t="shared" si="1"/>
        <v>1.08533368504353</v>
      </c>
    </row>
    <row r="177" spans="1:3">
      <c r="A177" s="6">
        <v>108.95871801635499</v>
      </c>
      <c r="B177" s="1">
        <v>41791</v>
      </c>
      <c r="C177" s="12">
        <f t="shared" si="1"/>
        <v>1.0895871801635499</v>
      </c>
    </row>
    <row r="178" spans="1:3">
      <c r="A178" s="6">
        <v>109.572012661567</v>
      </c>
      <c r="B178" s="1">
        <v>41821</v>
      </c>
      <c r="C178" s="12">
        <f t="shared" si="1"/>
        <v>1.09572012661567</v>
      </c>
    </row>
    <row r="179" spans="1:3">
      <c r="A179" s="6">
        <v>109.839092587708</v>
      </c>
      <c r="B179" s="1">
        <v>41852</v>
      </c>
      <c r="C179" s="12">
        <f t="shared" si="1"/>
        <v>1.0983909258770799</v>
      </c>
    </row>
    <row r="180" spans="1:3">
      <c r="A180" s="6">
        <v>109.710498549196</v>
      </c>
      <c r="B180" s="1">
        <v>41883</v>
      </c>
      <c r="C180" s="12">
        <f t="shared" si="1"/>
        <v>1.0971049854919601</v>
      </c>
    </row>
    <row r="181" spans="1:3">
      <c r="A181" s="6">
        <v>109.75995779477699</v>
      </c>
      <c r="B181" s="1">
        <v>41913</v>
      </c>
      <c r="C181" s="12">
        <f t="shared" si="1"/>
        <v>1.0975995779477699</v>
      </c>
    </row>
    <row r="182" spans="1:3">
      <c r="A182" s="6">
        <v>109.206014244263</v>
      </c>
      <c r="B182" s="1">
        <v>41944</v>
      </c>
      <c r="C182" s="12">
        <f t="shared" si="1"/>
        <v>1.0920601424426299</v>
      </c>
    </row>
    <row r="183" spans="1:3">
      <c r="A183" s="6">
        <v>108.315747823794</v>
      </c>
      <c r="B183" s="1">
        <v>41974</v>
      </c>
      <c r="C183" s="12">
        <f t="shared" si="1"/>
        <v>1.0831574782379401</v>
      </c>
    </row>
    <row r="184" spans="1:3">
      <c r="A184" s="6">
        <v>107.514508045371</v>
      </c>
      <c r="B184" s="1">
        <v>42005</v>
      </c>
      <c r="C184" s="12">
        <f t="shared" si="1"/>
        <v>1.0751450804537099</v>
      </c>
    </row>
    <row r="185" spans="1:3">
      <c r="A185" s="6">
        <v>107.385914006859</v>
      </c>
      <c r="B185" s="1">
        <v>42036</v>
      </c>
      <c r="C185" s="12">
        <f t="shared" si="1"/>
        <v>1.07385914006859</v>
      </c>
    </row>
    <row r="186" spans="1:3">
      <c r="A186" s="6">
        <v>107.92007385914</v>
      </c>
      <c r="B186" s="1">
        <v>42064</v>
      </c>
      <c r="C186" s="12">
        <f t="shared" si="1"/>
        <v>1.0792007385914</v>
      </c>
    </row>
    <row r="187" spans="1:3">
      <c r="A187" s="6">
        <v>107.929965708257</v>
      </c>
      <c r="B187" s="1">
        <v>42095</v>
      </c>
      <c r="C187" s="12">
        <f t="shared" si="1"/>
        <v>1.0792996570825699</v>
      </c>
    </row>
    <row r="188" spans="1:3">
      <c r="A188" s="6">
        <v>108.14758638881599</v>
      </c>
      <c r="B188" s="1">
        <v>42125</v>
      </c>
      <c r="C188" s="12">
        <f t="shared" si="1"/>
        <v>1.0814758638881599</v>
      </c>
    </row>
    <row r="189" spans="1:3">
      <c r="A189" s="6">
        <v>108.05855974676901</v>
      </c>
      <c r="B189" s="1">
        <v>42156</v>
      </c>
      <c r="C189" s="12">
        <f t="shared" si="1"/>
        <v>1.0805855974676901</v>
      </c>
    </row>
    <row r="190" spans="1:3">
      <c r="A190" s="6">
        <v>107.97942495383801</v>
      </c>
      <c r="B190" s="1">
        <v>42186</v>
      </c>
      <c r="C190" s="12">
        <f t="shared" si="1"/>
        <v>1.0797942495383801</v>
      </c>
    </row>
    <row r="191" spans="1:3">
      <c r="A191" s="6">
        <v>107.64310208388299</v>
      </c>
      <c r="B191" s="1">
        <v>42217</v>
      </c>
      <c r="C191" s="12">
        <f t="shared" si="1"/>
        <v>1.0764310208388299</v>
      </c>
    </row>
    <row r="192" spans="1:3">
      <c r="A192" s="6">
        <v>107.23753627011401</v>
      </c>
      <c r="B192" s="1">
        <v>42248</v>
      </c>
      <c r="C192" s="12">
        <f t="shared" si="1"/>
        <v>1.0723753627011401</v>
      </c>
    </row>
    <row r="193" spans="1:3">
      <c r="A193" s="6">
        <v>109.562120812451</v>
      </c>
      <c r="B193" s="1">
        <v>42278</v>
      </c>
      <c r="C193" s="12">
        <f t="shared" si="1"/>
        <v>1.09562120812451</v>
      </c>
    </row>
    <row r="194" spans="1:3">
      <c r="A194" s="6">
        <v>109.492877868637</v>
      </c>
      <c r="B194" s="1">
        <v>42309</v>
      </c>
      <c r="C194" s="12">
        <f t="shared" si="1"/>
        <v>1.09492877868637</v>
      </c>
    </row>
    <row r="195" spans="1:3">
      <c r="A195" s="6">
        <v>109.41374307570599</v>
      </c>
      <c r="B195" s="1">
        <v>42339</v>
      </c>
      <c r="C195" s="12">
        <f t="shared" si="1"/>
        <v>1.0941374307570599</v>
      </c>
    </row>
    <row r="196" spans="1:3">
      <c r="A196">
        <v>109.473094170404</v>
      </c>
      <c r="B196" s="1">
        <v>42370</v>
      </c>
      <c r="C196" s="12">
        <f t="shared" si="1"/>
        <v>1.0947309417040401</v>
      </c>
    </row>
    <row r="197" spans="1:3">
      <c r="A197">
        <v>109.176338696914</v>
      </c>
      <c r="B197" s="1">
        <v>42401</v>
      </c>
      <c r="C197" s="12">
        <f t="shared" si="1"/>
        <v>1.0917633869691401</v>
      </c>
    </row>
    <row r="198" spans="1:3">
      <c r="A198">
        <v>109.13</v>
      </c>
      <c r="B198" s="1">
        <v>42430</v>
      </c>
      <c r="C198" s="12">
        <f t="shared" si="1"/>
        <v>1.0912999999999999</v>
      </c>
    </row>
    <row r="199" spans="1:3">
      <c r="A199">
        <v>108.86</v>
      </c>
      <c r="B199" s="1">
        <v>42461</v>
      </c>
      <c r="C199" s="12">
        <f t="shared" si="1"/>
        <v>1.0886</v>
      </c>
    </row>
    <row r="200" spans="1:3">
      <c r="A200">
        <v>108.94</v>
      </c>
      <c r="B200" s="1">
        <v>42491</v>
      </c>
      <c r="C200" s="12">
        <f t="shared" si="1"/>
        <v>1.0893999999999999</v>
      </c>
    </row>
    <row r="201" spans="1:3">
      <c r="A201">
        <v>109.05</v>
      </c>
      <c r="B201" s="1">
        <v>42522</v>
      </c>
      <c r="C201" s="12">
        <f t="shared" si="1"/>
        <v>1.0905</v>
      </c>
    </row>
    <row r="202" spans="1:3">
      <c r="A202">
        <v>108.93</v>
      </c>
      <c r="B202" s="1">
        <v>42552</v>
      </c>
      <c r="C202" s="12">
        <f t="shared" si="1"/>
        <v>1.0893000000000002</v>
      </c>
    </row>
    <row r="203" spans="1:3">
      <c r="A203">
        <v>108.66</v>
      </c>
      <c r="B203" s="1">
        <v>42583</v>
      </c>
      <c r="C203" s="12">
        <f t="shared" si="1"/>
        <v>1.0866</v>
      </c>
    </row>
    <row r="204" spans="1:3">
      <c r="A204">
        <v>108.33</v>
      </c>
      <c r="B204" s="1">
        <v>42614</v>
      </c>
      <c r="C204" s="12">
        <f t="shared" si="1"/>
        <v>1.0832999999999999</v>
      </c>
    </row>
    <row r="205" spans="1:3">
      <c r="A205">
        <v>108.6</v>
      </c>
      <c r="B205" s="1">
        <v>42644</v>
      </c>
      <c r="C205" s="12">
        <f t="shared" ref="C205:C209" si="2">A205/100</f>
        <v>1.0859999999999999</v>
      </c>
    </row>
    <row r="206" spans="1:3">
      <c r="A206">
        <v>108.59</v>
      </c>
      <c r="B206" s="1">
        <v>42675</v>
      </c>
      <c r="C206" s="12">
        <f t="shared" si="2"/>
        <v>1.0859000000000001</v>
      </c>
    </row>
    <row r="207" spans="1:3">
      <c r="A207">
        <v>108.39</v>
      </c>
      <c r="B207" s="1">
        <v>42705</v>
      </c>
      <c r="C207" s="12">
        <f t="shared" si="2"/>
        <v>1.0839000000000001</v>
      </c>
    </row>
    <row r="208" spans="1:3">
      <c r="A208">
        <v>109.2</v>
      </c>
      <c r="B208" s="1">
        <v>42736</v>
      </c>
      <c r="C208" s="12">
        <f t="shared" si="2"/>
        <v>1.0920000000000001</v>
      </c>
    </row>
    <row r="209" spans="1:3">
      <c r="A209">
        <v>109.17727292757816</v>
      </c>
      <c r="B209" s="1">
        <v>42767</v>
      </c>
      <c r="C209" s="12">
        <f t="shared" si="2"/>
        <v>1.0917727292757815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69</vt:i4>
      </vt:variant>
    </vt:vector>
  </HeadingPairs>
  <TitlesOfParts>
    <vt:vector size="74" baseType="lpstr">
      <vt:lpstr>Maize Price IPA-STEP 1</vt:lpstr>
      <vt:lpstr>Weigths-STEP 2</vt:lpstr>
      <vt:lpstr>Weighted Means and SD STEPS 3-4</vt:lpstr>
      <vt:lpstr>CPI</vt:lpstr>
      <vt:lpstr>IPA Chart</vt:lpstr>
      <vt:lpstr>AN_07</vt:lpstr>
      <vt:lpstr>AN_08</vt:lpstr>
      <vt:lpstr>AN_09</vt:lpstr>
      <vt:lpstr>AN_10</vt:lpstr>
      <vt:lpstr>AN_11</vt:lpstr>
      <vt:lpstr>AN_12</vt:lpstr>
      <vt:lpstr>AN_13</vt:lpstr>
      <vt:lpstr>AN_14</vt:lpstr>
      <vt:lpstr>AN_15</vt:lpstr>
      <vt:lpstr>AN_16</vt:lpstr>
      <vt:lpstr>AN_2007</vt:lpstr>
      <vt:lpstr>AN_2008</vt:lpstr>
      <vt:lpstr>AN_2009</vt:lpstr>
      <vt:lpstr>AN_2010</vt:lpstr>
      <vt:lpstr>AN_2011</vt:lpstr>
      <vt:lpstr>AN_2012</vt:lpstr>
      <vt:lpstr>AN_2013</vt:lpstr>
      <vt:lpstr>AN_2014</vt:lpstr>
      <vt:lpstr>AN_2015</vt:lpstr>
      <vt:lpstr>AN_2016</vt:lpstr>
      <vt:lpstr>ANAPR</vt:lpstr>
      <vt:lpstr>ANAUG</vt:lpstr>
      <vt:lpstr>ANDEC</vt:lpstr>
      <vt:lpstr>ANFEB</vt:lpstr>
      <vt:lpstr>ANJAN</vt:lpstr>
      <vt:lpstr>ANJUL</vt:lpstr>
      <vt:lpstr>ANJUN</vt:lpstr>
      <vt:lpstr>ANMAR</vt:lpstr>
      <vt:lpstr>ANMAY</vt:lpstr>
      <vt:lpstr>ANNOV</vt:lpstr>
      <vt:lpstr>ANOCT</vt:lpstr>
      <vt:lpstr>ANSEP</vt:lpstr>
      <vt:lpstr>ANWEIGHTS</vt:lpstr>
      <vt:lpstr>PRICE</vt:lpstr>
      <vt:lpstr>QN10_</vt:lpstr>
      <vt:lpstr>QN11_</vt:lpstr>
      <vt:lpstr>QN12_</vt:lpstr>
      <vt:lpstr>QN13_</vt:lpstr>
      <vt:lpstr>QN14_</vt:lpstr>
      <vt:lpstr>QN15_</vt:lpstr>
      <vt:lpstr>QN16_</vt:lpstr>
      <vt:lpstr>QN6_</vt:lpstr>
      <vt:lpstr>QN7_</vt:lpstr>
      <vt:lpstr>QN8_</vt:lpstr>
      <vt:lpstr>QN9_</vt:lpstr>
      <vt:lpstr>QTYAPR</vt:lpstr>
      <vt:lpstr>QTYAUG</vt:lpstr>
      <vt:lpstr>QTYDEC</vt:lpstr>
      <vt:lpstr>QTYFEB</vt:lpstr>
      <vt:lpstr>QTYJAN</vt:lpstr>
      <vt:lpstr>QTYJUL</vt:lpstr>
      <vt:lpstr>QTYJUN</vt:lpstr>
      <vt:lpstr>QTYMAR</vt:lpstr>
      <vt:lpstr>QTYMAY</vt:lpstr>
      <vt:lpstr>QTYNOV</vt:lpstr>
      <vt:lpstr>QTYOCT</vt:lpstr>
      <vt:lpstr>QTYSEP</vt:lpstr>
      <vt:lpstr>QTYWEIGTHS</vt:lpstr>
      <vt:lpstr>QW_2006</vt:lpstr>
      <vt:lpstr>QW_2007</vt:lpstr>
      <vt:lpstr>QW_2008</vt:lpstr>
      <vt:lpstr>QW_2009</vt:lpstr>
      <vt:lpstr>QW_2010</vt:lpstr>
      <vt:lpstr>QW_2011</vt:lpstr>
      <vt:lpstr>QW_2012</vt:lpstr>
      <vt:lpstr>QW_2013</vt:lpstr>
      <vt:lpstr>QW_2014</vt:lpstr>
      <vt:lpstr>QW_2015</vt:lpstr>
      <vt:lpstr>QW_2016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Baquedano</dc:creator>
  <cp:lastModifiedBy>pisani</cp:lastModifiedBy>
  <dcterms:created xsi:type="dcterms:W3CDTF">2014-05-21T01:20:49Z</dcterms:created>
  <dcterms:modified xsi:type="dcterms:W3CDTF">2018-02-01T17:04:04Z</dcterms:modified>
</cp:coreProperties>
</file>